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ph.pauly\Dropbox\MPM\DB - VIDEO\"/>
    </mc:Choice>
  </mc:AlternateContent>
  <xr:revisionPtr revIDLastSave="0" documentId="13_ncr:1_{C866029D-4287-491C-BC6D-FC1F295DE389}" xr6:coauthVersionLast="47" xr6:coauthVersionMax="47" xr10:uidLastSave="{00000000-0000-0000-0000-000000000000}"/>
  <bookViews>
    <workbookView xWindow="-108" yWindow="348" windowWidth="23256" windowHeight="12720" xr2:uid="{00000000-000D-0000-FFFF-FFFF00000000}"/>
  </bookViews>
  <sheets>
    <sheet name="LED DISPLAY - CALCULATOR" sheetId="6" r:id="rId1"/>
    <sheet name="CABINET" sheetId="7" r:id="rId2"/>
    <sheet name="SIZE" sheetId="8" state="hidden" r:id="rId3"/>
  </sheets>
  <definedNames>
    <definedName name="_xlnm._FilterDatabase" localSheetId="0" hidden="1">CABINET!$A$1:$L$3</definedName>
    <definedName name="_xlnm.Print_Area" localSheetId="0">'LED DISPLAY - CALCULATOR'!$B$2:$O$66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6" l="1"/>
  <c r="J39" i="6"/>
  <c r="J36" i="6"/>
  <c r="J62" i="6"/>
  <c r="J68" i="6"/>
  <c r="J67" i="6"/>
  <c r="G14" i="6"/>
  <c r="G15" i="6"/>
  <c r="F28" i="6"/>
  <c r="E28" i="6"/>
  <c r="G28" i="6"/>
  <c r="J63" i="6"/>
  <c r="K67" i="6"/>
  <c r="F66" i="6"/>
  <c r="F67" i="6"/>
  <c r="E32" i="6"/>
  <c r="G62" i="6"/>
  <c r="G63" i="6"/>
  <c r="F29" i="6"/>
  <c r="G60" i="6"/>
  <c r="G61" i="6"/>
  <c r="B3" i="7" a="1"/>
  <c r="J23" i="6"/>
  <c r="J25" i="6"/>
  <c r="F24" i="6"/>
  <c r="D50" i="6"/>
  <c r="B3" i="7"/>
  <c r="J22" i="6"/>
  <c r="J24" i="6"/>
  <c r="E24" i="6"/>
  <c r="F50" i="6"/>
  <c r="E38" i="6"/>
  <c r="F38" i="6"/>
  <c r="E23" i="6"/>
  <c r="F23" i="6"/>
  <c r="J31" i="6"/>
  <c r="J29" i="6"/>
  <c r="J30" i="6"/>
  <c r="I7" i="7"/>
  <c r="K68" i="6"/>
  <c r="G9" i="6"/>
  <c r="J27" i="6"/>
  <c r="J59" i="6"/>
  <c r="J58" i="6"/>
  <c r="J33" i="6"/>
  <c r="J43" i="6"/>
  <c r="J42" i="6"/>
  <c r="E29" i="6"/>
  <c r="I8" i="7"/>
  <c r="F32" i="6"/>
  <c r="G29" i="6"/>
  <c r="G26" i="6"/>
  <c r="G36" i="6"/>
  <c r="G48" i="6"/>
  <c r="G10" i="6"/>
  <c r="G32" i="6"/>
  <c r="J26" i="6"/>
  <c r="J32" i="6"/>
  <c r="J28" i="6"/>
  <c r="J45" i="6"/>
  <c r="J46" i="6"/>
  <c r="G23" i="6"/>
  <c r="J40" i="6"/>
  <c r="J41" i="6"/>
  <c r="J47" i="6"/>
  <c r="K47" i="6"/>
  <c r="J37" i="6"/>
  <c r="D56" i="6"/>
  <c r="E56" i="6"/>
  <c r="D38" i="6"/>
  <c r="F55" i="6"/>
  <c r="F57" i="6"/>
  <c r="E50" i="6"/>
  <c r="F52" i="6"/>
  <c r="F40" i="6"/>
  <c r="J53" i="6"/>
  <c r="J54" i="6"/>
  <c r="J56" i="6"/>
  <c r="J49" i="6"/>
  <c r="J57" i="6"/>
  <c r="J44" i="6"/>
  <c r="J48" i="6"/>
  <c r="E44" i="6"/>
  <c r="D44" i="6"/>
  <c r="I47" i="6"/>
  <c r="J65" i="6"/>
  <c r="J66" i="6"/>
  <c r="N29" i="6"/>
  <c r="N27" i="6"/>
  <c r="F43" i="6"/>
  <c r="F45" i="6"/>
  <c r="J55" i="6"/>
  <c r="N25" i="6"/>
  <c r="N41" i="6"/>
  <c r="N24" i="6"/>
  <c r="N26" i="6"/>
  <c r="N28" i="6"/>
  <c r="N23" i="6"/>
  <c r="N22" i="6"/>
  <c r="N46" i="6"/>
  <c r="J50" i="6"/>
  <c r="J52" i="6"/>
  <c r="J51" i="6"/>
  <c r="N47" i="6"/>
  <c r="N45" i="6"/>
  <c r="N39" i="6"/>
  <c r="N38" i="6"/>
  <c r="J64" i="6"/>
  <c r="N48" i="6"/>
  <c r="N36" i="6"/>
  <c r="N40" i="6"/>
  <c r="N35" i="6"/>
  <c r="N42" i="6"/>
  <c r="N37" i="6"/>
  <c r="N43" i="6"/>
  <c r="N4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<sst xmlns="http://schemas.openxmlformats.org/spreadsheetml/2006/main" count="210" uniqueCount="154">
  <si>
    <t>3. Rien n'est à remplir sous le trait rouge. Ce ne sont que des résultats affichés.</t>
  </si>
  <si>
    <t>Pierre-Henry PAULY - MPM Audiolight</t>
  </si>
  <si>
    <t>SCREEN SIZE (m)</t>
  </si>
  <si>
    <t>Work on Office 2021</t>
  </si>
  <si>
    <t>CABINET</t>
  </si>
  <si>
    <t>Width (m)</t>
  </si>
  <si>
    <t>Height (m)</t>
  </si>
  <si>
    <t>Ratio</t>
  </si>
  <si>
    <t>Sélectionner ici le modèle de panneau</t>
  </si>
  <si>
    <t>STARTER 3.9</t>
  </si>
  <si>
    <t>Rentrer ici la taille d'écran souhaité</t>
  </si>
  <si>
    <t>Width</t>
  </si>
  <si>
    <t>Height</t>
  </si>
  <si>
    <t>DEFINITION</t>
  </si>
  <si>
    <t>Rentrer ici la définition des médias à diffuser</t>
  </si>
  <si>
    <t>CABINET INFOS</t>
  </si>
  <si>
    <t>POWER SUPPLY</t>
  </si>
  <si>
    <t>CABINET SIZE</t>
  </si>
  <si>
    <t>Width (mm)</t>
  </si>
  <si>
    <t>mm</t>
  </si>
  <si>
    <t>400 T</t>
  </si>
  <si>
    <t>Height (mm)</t>
  </si>
  <si>
    <t>250 T</t>
  </si>
  <si>
    <t>Width (px)</t>
  </si>
  <si>
    <t>pixels</t>
  </si>
  <si>
    <t>125 T</t>
  </si>
  <si>
    <t xml:space="preserve"> (px)</t>
  </si>
  <si>
    <t>63 T</t>
  </si>
  <si>
    <t>Weight (kg)</t>
  </si>
  <si>
    <t>kg</t>
  </si>
  <si>
    <t>32 T</t>
  </si>
  <si>
    <t>Seront surligné en vert, les données à prendre en comptes.</t>
  </si>
  <si>
    <t>Max Consumption (w)</t>
  </si>
  <si>
    <t>W</t>
  </si>
  <si>
    <t>16 T</t>
  </si>
  <si>
    <t>ASPECT RATIO</t>
  </si>
  <si>
    <t>Average Consumption (w)</t>
  </si>
  <si>
    <t>32 M</t>
  </si>
  <si>
    <t>Pitch (mm)</t>
  </si>
  <si>
    <t>16 M</t>
  </si>
  <si>
    <t>Pixel per cabinet</t>
  </si>
  <si>
    <t>Distance perception pixels</t>
  </si>
  <si>
    <t>m</t>
  </si>
  <si>
    <t>On 16A circuit</t>
  </si>
  <si>
    <t>cab</t>
  </si>
  <si>
    <t>AD - MPM</t>
  </si>
  <si>
    <t>SCREEN RESULTS</t>
  </si>
  <si>
    <t>AD0232M</t>
  </si>
  <si>
    <t>Cab Qty</t>
  </si>
  <si>
    <t>frame</t>
  </si>
  <si>
    <t>AD0332M</t>
  </si>
  <si>
    <t>FILL :</t>
  </si>
  <si>
    <t>pixels hors cadre sur la hauteur</t>
  </si>
  <si>
    <t>Flight Qty</t>
  </si>
  <si>
    <t>flight case</t>
  </si>
  <si>
    <t>AD0332T</t>
  </si>
  <si>
    <t>Cab Width</t>
  </si>
  <si>
    <t>AD1816M</t>
  </si>
  <si>
    <t>pixel hors cadre en haut et en bas</t>
  </si>
  <si>
    <t>Cab Height</t>
  </si>
  <si>
    <t>AD432M</t>
  </si>
  <si>
    <t>Les valeurs de pixels "hors cadre" ou "noir" peuvent servir de</t>
  </si>
  <si>
    <t>Res Width</t>
  </si>
  <si>
    <t>AD616M</t>
  </si>
  <si>
    <t>Res Height</t>
  </si>
  <si>
    <t>AD1216</t>
  </si>
  <si>
    <t>pixels noir sur la largeur</t>
  </si>
  <si>
    <t>Surface</t>
  </si>
  <si>
    <t>m²</t>
  </si>
  <si>
    <t>FIT :</t>
  </si>
  <si>
    <t>Advised view distance</t>
  </si>
  <si>
    <t>pixel noir de chaque côté</t>
  </si>
  <si>
    <t>Screen Weight</t>
  </si>
  <si>
    <t>Bumper Qty</t>
  </si>
  <si>
    <t>bumper</t>
  </si>
  <si>
    <t>Bumper Weight</t>
  </si>
  <si>
    <t>AD250T</t>
  </si>
  <si>
    <t>Total Weight</t>
  </si>
  <si>
    <t>AD400T</t>
  </si>
  <si>
    <t>pixels hors cadre sur la largeur</t>
  </si>
  <si>
    <t>Max Power (w)</t>
  </si>
  <si>
    <t>Max Power (A)</t>
  </si>
  <si>
    <t>A</t>
  </si>
  <si>
    <t>pixels hors cadre de chaque côté</t>
  </si>
  <si>
    <t>Max Power (w) /L</t>
  </si>
  <si>
    <t>W/L</t>
  </si>
  <si>
    <t>Max Power (A) /L</t>
  </si>
  <si>
    <t>A/L</t>
  </si>
  <si>
    <t>Ave Power (w)</t>
  </si>
  <si>
    <t>pixels noir sur la hauteur</t>
  </si>
  <si>
    <t>Ave Power (A)</t>
  </si>
  <si>
    <t>Ave Power (w) /L</t>
  </si>
  <si>
    <t>pixels noir en haut et en bas</t>
  </si>
  <si>
    <t>Ave Power (A) /L</t>
  </si>
  <si>
    <t>On 16A Circuit</t>
  </si>
  <si>
    <t>x</t>
  </si>
  <si>
    <t>Cabling power in line</t>
  </si>
  <si>
    <t>Cabling power in column</t>
  </si>
  <si>
    <t>DISPLAY CTRL</t>
  </si>
  <si>
    <t>Total Pixel</t>
  </si>
  <si>
    <t>RJ Port (8bit)</t>
  </si>
  <si>
    <t>w/ redundancy</t>
  </si>
  <si>
    <t>RJ Port (10bit)</t>
  </si>
  <si>
    <t>MCTRL 600</t>
  </si>
  <si>
    <t>MCTRL 4K</t>
  </si>
  <si>
    <t>Width (pix)</t>
  </si>
  <si>
    <t>Height (pix)</t>
  </si>
  <si>
    <t>Max cons (w)</t>
  </si>
  <si>
    <t>Ave cons (w)</t>
  </si>
  <si>
    <t>Bumper Weight (kg)</t>
  </si>
  <si>
    <t>Bumper Max Load (kg)</t>
  </si>
  <si>
    <t>Flight Weight (kg)</t>
  </si>
  <si>
    <t>Filght Case (qty)</t>
  </si>
  <si>
    <t>SELECTED</t>
  </si>
  <si>
    <t>NONE</t>
  </si>
  <si>
    <t>CUSTOM</t>
  </si>
  <si>
    <t>AYRGON 3.9</t>
  </si>
  <si>
    <t>POLARIS XL</t>
  </si>
  <si>
    <t>POLARIS L</t>
  </si>
  <si>
    <t>GENERIC</t>
  </si>
  <si>
    <t>" SCREEN NAME "</t>
  </si>
  <si>
    <t>https://www.pierrehenrypauly.com/database#led-displays</t>
  </si>
  <si>
    <t>Pixel Per Inch (PPI)</t>
  </si>
  <si>
    <t>1. Sélectionnez votre modèle de cabinet. ( Si votre cabinet n'existe pas, rajoutez le dans la feuille "CABINET")</t>
  </si>
  <si>
    <t>2. Rentrez la taille de votre écran (en mètre) et la résolution de votre signal en pixels.</t>
  </si>
  <si>
    <t>Fonction de surlignage pas disponible sur toutes les versions excel !</t>
  </si>
  <si>
    <t>ppi</t>
  </si>
  <si>
    <t>Sur la hauteur</t>
  </si>
  <si>
    <t>Sur la largeur</t>
  </si>
  <si>
    <t>Equivalent en frame par rapport à la largeur du flux vidéo</t>
  </si>
  <si>
    <t>Equivalent en frame par rapport à la hauteur du flux vidéo</t>
  </si>
  <si>
    <t>Frame :</t>
  </si>
  <si>
    <t>Pixels :</t>
  </si>
  <si>
    <t>SIGNAL SIZE (pixels)</t>
  </si>
  <si>
    <t xml:space="preserve">SCREEN LESS LARGER THAN THE SIGNAL :  </t>
  </si>
  <si>
    <t xml:space="preserve">SCREEN LARGER THAN THE SIGNAL :  </t>
  </si>
  <si>
    <t xml:space="preserve">SCREEN RATIO = MEDIA RATIO:  </t>
  </si>
  <si>
    <t>RJ45</t>
  </si>
  <si>
    <t>px</t>
  </si>
  <si>
    <t>SIGNAL LOST PIXELS</t>
  </si>
  <si>
    <t>MISSING PHYSICAL SURFACE</t>
  </si>
  <si>
    <t>AD1616MH-V</t>
  </si>
  <si>
    <t>AD2416MH-V</t>
  </si>
  <si>
    <t>AD3216MH-V</t>
  </si>
  <si>
    <t>AD4816MH-V</t>
  </si>
  <si>
    <t>AD9616MH-V</t>
  </si>
  <si>
    <t>Ratio de l'écran par rapport au signal vidéo.</t>
  </si>
  <si>
    <t>Définition à envoyer au contrôleur de l'écran.</t>
  </si>
  <si>
    <t>Mode de Scale ( FIT )</t>
  </si>
  <si>
    <t>Mode de Scale ( FILL )</t>
  </si>
  <si>
    <t>Surface d'écran manquante par rapport au ratio du signal.</t>
  </si>
  <si>
    <t>Pixels du signal manquant par rapport au ratio de l'écran.</t>
  </si>
  <si>
    <t>valeur d'offset pour centrer le signal vidéo.</t>
  </si>
  <si>
    <t>LED DISPLAY CALCULATOR - v27 - 23/07/02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</si>
</sst>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1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Inconsolata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6" tint="0.3999755851924192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20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48"/>
      <color rgb="FF000000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theme="5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/>
      <bottom style="medium">
        <color rgb="FFEA43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9">
    <xf numFmtId="0" fontId="0" fillId="0" borderId="0" xfId="0"/>
    <xf numFmtId="2" fontId="7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6" fillId="1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164" fontId="10" fillId="0" borderId="8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12" borderId="8" xfId="0" applyFont="1" applyFill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7" fillId="13" borderId="10" xfId="0" applyFont="1" applyFill="1" applyBorder="1" applyAlignment="1">
      <alignment vertical="center"/>
    </xf>
    <xf numFmtId="0" fontId="7" fillId="13" borderId="11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13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vertical="center"/>
    </xf>
    <xf numFmtId="0" fontId="7" fillId="18" borderId="8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vertical="center"/>
    </xf>
    <xf numFmtId="165" fontId="7" fillId="18" borderId="9" xfId="0" applyNumberFormat="1" applyFont="1" applyFill="1" applyBorder="1" applyAlignment="1">
      <alignment horizontal="center" vertical="center"/>
    </xf>
    <xf numFmtId="165" fontId="8" fillId="18" borderId="9" xfId="0" applyNumberFormat="1" applyFont="1" applyFill="1" applyBorder="1" applyAlignment="1">
      <alignment horizontal="center" vertical="center"/>
    </xf>
    <xf numFmtId="0" fontId="8" fillId="20" borderId="8" xfId="0" applyFont="1" applyFill="1" applyBorder="1" applyAlignment="1">
      <alignment horizontal="center" vertical="center"/>
    </xf>
    <xf numFmtId="0" fontId="8" fillId="19" borderId="8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vertical="center"/>
    </xf>
    <xf numFmtId="0" fontId="7" fillId="18" borderId="10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vertical="center"/>
    </xf>
    <xf numFmtId="0" fontId="8" fillId="18" borderId="8" xfId="0" applyFont="1" applyFill="1" applyBorder="1" applyAlignment="1">
      <alignment vertical="center"/>
    </xf>
    <xf numFmtId="0" fontId="7" fillId="18" borderId="10" xfId="0" applyFont="1" applyFill="1" applyBorder="1" applyAlignment="1">
      <alignment vertical="center"/>
    </xf>
    <xf numFmtId="0" fontId="8" fillId="18" borderId="9" xfId="0" quotePrefix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3" fillId="9" borderId="5" xfId="0" applyFont="1" applyFill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12" borderId="0" xfId="0" applyFont="1" applyFill="1" applyAlignment="1">
      <alignment horizontal="right" vertical="center"/>
    </xf>
    <xf numFmtId="0" fontId="11" fillId="14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18" borderId="0" xfId="0" applyFont="1" applyFill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165" fontId="8" fillId="18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/>
    </xf>
    <xf numFmtId="2" fontId="11" fillId="15" borderId="0" xfId="0" applyNumberFormat="1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right" vertical="center"/>
    </xf>
    <xf numFmtId="0" fontId="11" fillId="1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6" fillId="13" borderId="0" xfId="0" applyNumberFormat="1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18" borderId="0" xfId="0" applyFont="1" applyFill="1" applyAlignment="1">
      <alignment horizontal="right" vertical="center"/>
    </xf>
    <xf numFmtId="0" fontId="8" fillId="16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2" fontId="7" fillId="18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18" borderId="0" xfId="0" applyFont="1" applyFill="1" applyAlignment="1">
      <alignment vertical="center"/>
    </xf>
    <xf numFmtId="2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vertical="center"/>
    </xf>
    <xf numFmtId="2" fontId="8" fillId="5" borderId="0" xfId="0" applyNumberFormat="1" applyFont="1" applyFill="1" applyAlignment="1">
      <alignment horizontal="right" vertical="center"/>
    </xf>
    <xf numFmtId="2" fontId="8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7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2" fontId="7" fillId="0" borderId="27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11" fillId="18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2" fontId="11" fillId="18" borderId="0" xfId="0" applyNumberFormat="1" applyFont="1" applyFill="1" applyAlignment="1">
      <alignment vertical="center"/>
    </xf>
    <xf numFmtId="0" fontId="11" fillId="18" borderId="9" xfId="0" applyFont="1" applyFill="1" applyBorder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0" xfId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21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0">
    <dxf>
      <fill>
        <patternFill>
          <bgColor theme="7"/>
        </patternFill>
      </fill>
    </dxf>
    <dxf>
      <fill>
        <patternFill patternType="solid"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ck">
          <color rgb="FFFF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vertical="center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9" defaultTableStyle="TableStyleMedium2" defaultPivotStyle="PivotStyleLight16">
    <tableStyle name="CHRISTIE-style" pivot="0" count="2" xr9:uid="{00000000-0011-0000-FFFF-FFFF00000000}">
      <tableStyleElement type="firstRowStripe" dxfId="119"/>
      <tableStyleElement type="secondRowStripe" dxfId="118"/>
    </tableStyle>
    <tableStyle name="CHRISTIE-style 2" pivot="0" count="2" xr9:uid="{00000000-0011-0000-FFFF-FFFF01000000}">
      <tableStyleElement type="firstRowStripe" dxfId="117"/>
      <tableStyleElement type="secondRowStripe" dxfId="116"/>
    </tableStyle>
    <tableStyle name="CHRISTIE-style 3" pivot="0" count="2" xr9:uid="{00000000-0011-0000-FFFF-FFFF02000000}">
      <tableStyleElement type="firstRowStripe" dxfId="115"/>
      <tableStyleElement type="secondRowStripe" dxfId="114"/>
    </tableStyle>
    <tableStyle name="CHRISTIE-style 4" pivot="0" count="2" xr9:uid="{00000000-0011-0000-FFFF-FFFF03000000}">
      <tableStyleElement type="firstRowStripe" dxfId="113"/>
      <tableStyleElement type="secondRowStripe" dxfId="112"/>
    </tableStyle>
    <tableStyle name="CHRISTIE-style 5" pivot="0" count="2" xr9:uid="{00000000-0011-0000-FFFF-FFFF04000000}">
      <tableStyleElement type="firstRowStripe" dxfId="111"/>
      <tableStyleElement type="secondRowStripe" dxfId="110"/>
    </tableStyle>
    <tableStyle name="CHRISTIE-style 6" pivot="0" count="2" xr9:uid="{00000000-0011-0000-FFFF-FFFF05000000}">
      <tableStyleElement type="firstRowStripe" dxfId="109"/>
      <tableStyleElement type="secondRowStripe" dxfId="108"/>
    </tableStyle>
    <tableStyle name="LED DISPLAY - CALCULATOR-style" pivot="0" count="2" xr9:uid="{00000000-0011-0000-FFFF-FFFF06000000}">
      <tableStyleElement type="firstRowStripe" dxfId="107"/>
      <tableStyleElement type="secondRowStripe" dxfId="106"/>
    </tableStyle>
    <tableStyle name="LED DISPLAY - CALCULATOR-style 2" pivot="0" count="2" xr9:uid="{00000000-0011-0000-FFFF-FFFF07000000}">
      <tableStyleElement type="firstRowStripe" dxfId="105"/>
      <tableStyleElement type="secondRowStripe" dxfId="104"/>
    </tableStyle>
    <tableStyle name="LED DISPLAY - CALCULATOR-style 3" pivot="0" count="2" xr9:uid="{00000000-0011-0000-FFFF-FFFF08000000}">
      <tableStyleElement type="firstRowStripe" dxfId="103"/>
      <tableStyleElement type="secondRowStripe" dxfId="102"/>
    </tableStyle>
  </tableStyles>
  <colors>
    <mruColors>
      <color rgb="FFEA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I62:K68" headerRowCount="0" headerRowDxfId="101" dataDxfId="100" totalsRowDxfId="99">
  <tableColumns count="3">
    <tableColumn id="1" xr3:uid="{00000000-0010-0000-0600-000001000000}" name="Column1" dataDxfId="98"/>
    <tableColumn id="2" xr3:uid="{00000000-0010-0000-0600-000002000000}" name="Column2" dataDxfId="97"/>
    <tableColumn id="3" xr3:uid="{00000000-0010-0000-0600-000003000000}" name="Column3" dataDxfId="96"/>
  </tableColumns>
  <tableStyleInfo name="LED DISPLAY - CALCULATOR-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I22:K33" headerRowCount="0" totalsRowShown="0" headerRowDxfId="95" dataDxfId="94" totalsRowDxfId="93">
  <tableColumns count="3">
    <tableColumn id="1" xr3:uid="{00000000-0010-0000-0800-000001000000}" name="Column1" dataDxfId="92"/>
    <tableColumn id="2" xr3:uid="{00000000-0010-0000-0800-000002000000}" name="Column2" dataDxfId="91"/>
    <tableColumn id="3" xr3:uid="{00000000-0010-0000-0800-000003000000}" name="Column3" dataDxfId="90"/>
  </tableColumns>
  <tableStyleInfo name="LED DISPLAY - CALCULATOR-style 3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8A7820-786B-474B-9FB7-5EC5C96299E5}" name="Table3" displayName="Table3" ref="D22:G24" headerRowCount="0" totalsRowShown="0" headerRowDxfId="89" tableBorderDxfId="88">
  <tableColumns count="4">
    <tableColumn id="1" xr3:uid="{48652D51-853A-4D14-B464-A440E5400527}" name="Column1" headerRowDxfId="87"/>
    <tableColumn id="2" xr3:uid="{2D1EC326-B562-4846-A017-18E19D2F19E4}" name="Column2" headerRowDxfId="86"/>
    <tableColumn id="3" xr3:uid="{2FAB83DA-286B-45DB-B6DA-09C64AF3DEB7}" name="Column3" headerRowDxfId="85"/>
    <tableColumn id="4" xr3:uid="{82E936F2-51C2-4A6C-8453-5AF684356589}" name="Column4" headerRowDxfId="84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62D21-0065-4516-915E-A7D0BDE296BE}" name="Table4" displayName="Table4" ref="D60:G63" headerRowCount="0" totalsRowShown="0" tableBorderDxfId="83">
  <tableColumns count="4">
    <tableColumn id="1" xr3:uid="{89DF5BE2-40D3-4C3A-B9CC-413E34729E39}" name="Column1" headerRowDxfId="82"/>
    <tableColumn id="2" xr3:uid="{9E4A60D3-2768-466B-9C0C-5C27776624AD}" name="Column2" headerRowDxfId="81"/>
    <tableColumn id="3" xr3:uid="{EB87D01A-9F3A-4A14-BD40-8D6782FF7BA2}" name="Column3" headerRowDxfId="80" dataDxfId="79"/>
    <tableColumn id="4" xr3:uid="{0E441433-CA07-4FAB-B930-C6370B3AF6BB}" name="Column4" headerRowDxfId="78" dataDxfId="77"/>
  </tableColumns>
  <tableStyleInfo name="LED DISPLAY - CALCULATOR-sty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EF6700-3AFB-4E57-B70B-2CBA3F6FE2A5}" name="Table5" displayName="Table5" ref="D66:G67" headerRowCount="0" totalsRowShown="0" tableBorderDxfId="76">
  <tableColumns count="4">
    <tableColumn id="1" xr3:uid="{7996CADE-DBA6-476D-81DD-CE271B122B31}" name="Column1" headerRowDxfId="75" dataDxfId="74"/>
    <tableColumn id="2" xr3:uid="{ADA19DD0-EC84-4CED-AAFF-6F2CBCF71C7C}" name="Column2" headerRowDxfId="73" dataDxfId="72"/>
    <tableColumn id="3" xr3:uid="{8DCD1B2F-D082-4BB0-A9A9-9409FEDF366A}" name="Column3" headerRowDxfId="71" dataDxfId="70">
      <calculatedColumnFormula>E13-(F13*(E8/F8))</calculatedColumnFormula>
    </tableColumn>
    <tableColumn id="4" xr3:uid="{CA0D13F1-A16A-450E-B67D-72CE816B865F}" name="Column4" headerRowDxfId="69" dataDxfId="68"/>
  </tableColumns>
  <tableStyleInfo name="LED DISPLAY - CALCULATOR-sty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7:L32" headerRowCount="0" headerRowDxfId="67" dataDxfId="66" totalsRowDxfId="65">
  <tableColumns count="12">
    <tableColumn id="1" xr3:uid="{00000000-0010-0000-0700-000001000000}" name="Column1" dataDxfId="64"/>
    <tableColumn id="2" xr3:uid="{00000000-0010-0000-0700-000002000000}" name="Column2" dataDxfId="63"/>
    <tableColumn id="3" xr3:uid="{00000000-0010-0000-0700-000003000000}" name="Column3" dataDxfId="62"/>
    <tableColumn id="4" xr3:uid="{00000000-0010-0000-0700-000004000000}" name="Column4" dataDxfId="61"/>
    <tableColumn id="5" xr3:uid="{00000000-0010-0000-0700-000005000000}" name="Column5" dataDxfId="60"/>
    <tableColumn id="6" xr3:uid="{00000000-0010-0000-0700-000006000000}" name="Column6" dataDxfId="59"/>
    <tableColumn id="7" xr3:uid="{00000000-0010-0000-0700-000007000000}" name="Column7" dataDxfId="58"/>
    <tableColumn id="8" xr3:uid="{00000000-0010-0000-0700-000008000000}" name="Column8" dataDxfId="57"/>
    <tableColumn id="9" xr3:uid="{00000000-0010-0000-0700-000009000000}" name="Column9" dataDxfId="56"/>
    <tableColumn id="10" xr3:uid="{00000000-0010-0000-0700-00000A000000}" name="Column10" dataDxfId="55"/>
    <tableColumn id="11" xr3:uid="{00000000-0010-0000-0700-00000B000000}" name="Column11" dataDxfId="54"/>
    <tableColumn id="12" xr3:uid="{00000000-0010-0000-0700-00000C000000}" name="Column12" dataDxfId="53"/>
  </tableColumns>
  <tableStyleInfo name="LED DISPLAY - CALCULATOR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errehenrypauly.com/database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B1:AB1005"/>
  <sheetViews>
    <sheetView showGridLines="0" tabSelected="1" topLeftCell="D1" zoomScale="85" zoomScaleNormal="85" workbookViewId="0">
      <selection activeCell="L7" sqref="L7:N7"/>
    </sheetView>
  </sheetViews>
  <sheetFormatPr defaultColWidth="12.5546875" defaultRowHeight="15.75" customHeight="1" x14ac:dyDescent="0.25"/>
  <cols>
    <col min="1" max="2" width="3.77734375" style="7" customWidth="1"/>
    <col min="3" max="3" width="62.21875" style="7" customWidth="1"/>
    <col min="4" max="4" width="19.5546875" style="7" customWidth="1"/>
    <col min="5" max="6" width="12.5546875" style="7"/>
    <col min="7" max="7" width="16" style="7" customWidth="1"/>
    <col min="8" max="8" width="18.5546875" style="7" bestFit="1" customWidth="1"/>
    <col min="9" max="9" width="22.21875" style="7" bestFit="1" customWidth="1"/>
    <col min="10" max="11" width="12.5546875" style="7"/>
    <col min="12" max="12" width="19.21875" style="7" bestFit="1" customWidth="1"/>
    <col min="13" max="13" width="13.21875" style="7" customWidth="1"/>
    <col min="14" max="14" width="14" style="7" customWidth="1"/>
    <col min="15" max="16" width="3.77734375" style="7" customWidth="1"/>
    <col min="17" max="16384" width="12.5546875" style="7"/>
  </cols>
  <sheetData>
    <row r="1" spans="2:28" ht="15.75" customHeight="1" thickBot="1" x14ac:dyDescent="0.3"/>
    <row r="2" spans="2:28" ht="13.2" customHeight="1" x14ac:dyDescent="0.2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</row>
    <row r="3" spans="2:28" ht="15.75" customHeight="1" x14ac:dyDescent="0.25">
      <c r="B3" s="96"/>
      <c r="C3" s="184" t="s">
        <v>123</v>
      </c>
      <c r="D3" s="184"/>
      <c r="E3" s="184"/>
      <c r="F3" s="184"/>
      <c r="G3" s="184"/>
      <c r="H3" s="189" t="s">
        <v>153</v>
      </c>
      <c r="I3" s="189"/>
      <c r="J3" s="189"/>
      <c r="K3" s="189"/>
      <c r="L3" s="189"/>
      <c r="M3" s="189"/>
      <c r="N3" s="189"/>
      <c r="O3" s="97"/>
    </row>
    <row r="4" spans="2:28" ht="15.75" customHeight="1" x14ac:dyDescent="0.25">
      <c r="B4" s="96"/>
      <c r="C4" s="184" t="s">
        <v>124</v>
      </c>
      <c r="D4" s="184"/>
      <c r="E4" s="184"/>
      <c r="F4" s="184"/>
      <c r="G4" s="184"/>
      <c r="H4" s="189"/>
      <c r="I4" s="189"/>
      <c r="J4" s="189"/>
      <c r="K4" s="189"/>
      <c r="L4" s="189"/>
      <c r="M4" s="189"/>
      <c r="N4" s="189"/>
      <c r="O4" s="97"/>
    </row>
    <row r="5" spans="2:28" ht="15.75" customHeight="1" x14ac:dyDescent="0.25">
      <c r="B5" s="96"/>
      <c r="C5" s="184" t="s">
        <v>0</v>
      </c>
      <c r="D5" s="184"/>
      <c r="E5" s="184"/>
      <c r="F5" s="184"/>
      <c r="G5" s="184"/>
      <c r="H5" s="190" t="s">
        <v>1</v>
      </c>
      <c r="I5" s="190"/>
      <c r="J5" s="190"/>
      <c r="K5" s="190"/>
      <c r="L5" s="190"/>
      <c r="M5" s="190"/>
      <c r="N5" s="190"/>
      <c r="O5" s="97"/>
    </row>
    <row r="6" spans="2:28" ht="13.2" customHeight="1" x14ac:dyDescent="0.25">
      <c r="B6" s="96"/>
      <c r="C6" s="18"/>
      <c r="D6" s="18"/>
      <c r="E6" s="18"/>
      <c r="F6" s="18"/>
      <c r="G6" s="18"/>
      <c r="H6" s="190"/>
      <c r="I6" s="190"/>
      <c r="J6" s="190"/>
      <c r="K6" s="190"/>
      <c r="L6" s="190"/>
      <c r="M6" s="190"/>
      <c r="N6" s="190"/>
      <c r="O6" s="9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2:28" ht="15.75" customHeight="1" thickBot="1" x14ac:dyDescent="0.3">
      <c r="B7" s="96"/>
      <c r="C7" s="99"/>
      <c r="D7" s="168" t="s">
        <v>2</v>
      </c>
      <c r="E7" s="169"/>
      <c r="F7" s="169"/>
      <c r="G7" s="170"/>
      <c r="L7" s="191" t="s">
        <v>3</v>
      </c>
      <c r="M7" s="191"/>
      <c r="N7" s="191"/>
      <c r="O7" s="97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2:28" ht="13.2" x14ac:dyDescent="0.25">
      <c r="B8" s="96"/>
      <c r="C8" s="100"/>
      <c r="D8" s="2" t="s">
        <v>4</v>
      </c>
      <c r="E8" s="100" t="s">
        <v>5</v>
      </c>
      <c r="F8" s="100" t="s">
        <v>6</v>
      </c>
      <c r="G8" s="48" t="s">
        <v>7</v>
      </c>
      <c r="J8" s="192" t="s">
        <v>121</v>
      </c>
      <c r="K8" s="191"/>
      <c r="L8" s="191"/>
      <c r="M8" s="191"/>
      <c r="N8" s="191"/>
      <c r="O8" s="97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2:28" ht="15.75" customHeight="1" x14ac:dyDescent="0.25">
      <c r="B9" s="96"/>
      <c r="C9" s="101" t="s">
        <v>8</v>
      </c>
      <c r="D9" s="19" t="s">
        <v>9</v>
      </c>
      <c r="E9" s="102">
        <v>5</v>
      </c>
      <c r="F9" s="102">
        <v>3</v>
      </c>
      <c r="G9" s="55">
        <f>E9/F9</f>
        <v>1.6666666666666667</v>
      </c>
      <c r="O9" s="97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2:28" ht="15.75" customHeight="1" x14ac:dyDescent="0.25">
      <c r="B10" s="96"/>
      <c r="C10" s="103" t="s">
        <v>10</v>
      </c>
      <c r="D10" s="21"/>
      <c r="E10" s="22"/>
      <c r="F10" s="22"/>
      <c r="G10" s="23" t="str">
        <f>IF(G9=G28,"16/9","")</f>
        <v/>
      </c>
      <c r="O10" s="97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2:28" ht="15.75" customHeight="1" x14ac:dyDescent="0.25">
      <c r="B11" s="96"/>
      <c r="G11" s="100"/>
      <c r="O11" s="97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28" ht="15.75" customHeight="1" thickBot="1" x14ac:dyDescent="0.3">
      <c r="B12" s="96"/>
      <c r="C12" s="99"/>
      <c r="D12" s="177" t="s">
        <v>133</v>
      </c>
      <c r="E12" s="178"/>
      <c r="F12" s="178"/>
      <c r="G12" s="179"/>
      <c r="I12" s="193" t="s">
        <v>120</v>
      </c>
      <c r="J12" s="194"/>
      <c r="K12" s="194"/>
      <c r="L12" s="194"/>
      <c r="M12" s="194"/>
      <c r="N12" s="195"/>
      <c r="O12" s="97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.75" customHeight="1" thickTop="1" x14ac:dyDescent="0.25">
      <c r="B13" s="96"/>
      <c r="C13" s="104"/>
      <c r="D13" s="2"/>
      <c r="E13" s="100" t="s">
        <v>11</v>
      </c>
      <c r="F13" s="100" t="s">
        <v>12</v>
      </c>
      <c r="G13" s="48" t="s">
        <v>7</v>
      </c>
      <c r="I13" s="196"/>
      <c r="J13" s="173"/>
      <c r="K13" s="173"/>
      <c r="L13" s="173"/>
      <c r="M13" s="173"/>
      <c r="N13" s="174"/>
      <c r="O13" s="97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2:28" ht="15.75" customHeight="1" x14ac:dyDescent="0.25">
      <c r="B14" s="96"/>
      <c r="D14" s="57" t="s">
        <v>13</v>
      </c>
      <c r="E14" s="102">
        <v>1920</v>
      </c>
      <c r="F14" s="102">
        <v>1080</v>
      </c>
      <c r="G14" s="55">
        <f>E14/F14</f>
        <v>1.7777777777777777</v>
      </c>
      <c r="I14" s="196"/>
      <c r="J14" s="173"/>
      <c r="K14" s="173"/>
      <c r="L14" s="173"/>
      <c r="M14" s="173"/>
      <c r="N14" s="174"/>
      <c r="O14" s="97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2:28" ht="15.75" customHeight="1" x14ac:dyDescent="0.25">
      <c r="B15" s="96"/>
      <c r="C15" s="106" t="s">
        <v>14</v>
      </c>
      <c r="D15" s="21"/>
      <c r="E15" s="22"/>
      <c r="F15" s="22"/>
      <c r="G15" s="23" t="str">
        <f>IF(G14=1.778,"16/9","NO")</f>
        <v>NO</v>
      </c>
      <c r="I15" s="197"/>
      <c r="J15" s="198"/>
      <c r="K15" s="198"/>
      <c r="L15" s="198"/>
      <c r="M15" s="198"/>
      <c r="N15" s="199"/>
      <c r="O15" s="97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2:28" ht="15.75" customHeight="1" x14ac:dyDescent="0.25">
      <c r="B16" s="96"/>
      <c r="C16" s="100"/>
      <c r="G16" s="107"/>
      <c r="O16" s="97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2:28" ht="15.75" customHeight="1" x14ac:dyDescent="0.25">
      <c r="B17" s="96"/>
      <c r="C17" s="100"/>
      <c r="G17" s="107"/>
      <c r="O17" s="97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2:28" ht="15.75" customHeight="1" thickBot="1" x14ac:dyDescent="0.3">
      <c r="B18" s="96"/>
      <c r="C18" s="49"/>
      <c r="D18" s="25"/>
      <c r="E18" s="25"/>
      <c r="F18" s="25"/>
      <c r="G18" s="26"/>
      <c r="H18" s="25"/>
      <c r="I18" s="25"/>
      <c r="J18" s="25"/>
      <c r="K18" s="25"/>
      <c r="L18" s="25"/>
      <c r="M18" s="25"/>
      <c r="N18" s="25"/>
      <c r="O18" s="97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2:28" ht="15.75" customHeight="1" x14ac:dyDescent="0.25">
      <c r="B19" s="96"/>
      <c r="C19" s="100"/>
      <c r="G19" s="107"/>
      <c r="O19" s="97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28" ht="15.75" customHeight="1" x14ac:dyDescent="0.25">
      <c r="B20" s="96"/>
      <c r="C20" s="100"/>
      <c r="O20" s="97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28" ht="15.75" customHeight="1" thickBot="1" x14ac:dyDescent="0.3">
      <c r="B21" s="96"/>
      <c r="C21" s="104"/>
      <c r="D21" s="164" t="s">
        <v>17</v>
      </c>
      <c r="E21" s="182"/>
      <c r="F21" s="182"/>
      <c r="G21" s="183"/>
      <c r="I21" s="168" t="s">
        <v>15</v>
      </c>
      <c r="J21" s="169"/>
      <c r="K21" s="170"/>
      <c r="M21" s="187" t="s">
        <v>16</v>
      </c>
      <c r="N21" s="188"/>
      <c r="O21" s="97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28" ht="15.75" customHeight="1" x14ac:dyDescent="0.25">
      <c r="B22" s="96"/>
      <c r="E22" s="105" t="s">
        <v>11</v>
      </c>
      <c r="F22" s="105" t="s">
        <v>12</v>
      </c>
      <c r="G22" s="105" t="s">
        <v>7</v>
      </c>
      <c r="I22" s="24" t="s">
        <v>18</v>
      </c>
      <c r="J22" s="108">
        <f>CABINET!B3</f>
        <v>500</v>
      </c>
      <c r="K22" s="27" t="s">
        <v>19</v>
      </c>
      <c r="M22" s="6" t="s">
        <v>20</v>
      </c>
      <c r="N22" s="9" t="str">
        <f>IF(J49&lt;(240*3*400),"TRUE","FALSE")</f>
        <v>TRUE</v>
      </c>
      <c r="O22" s="97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2:28" ht="13.2" x14ac:dyDescent="0.25">
      <c r="B23" s="96"/>
      <c r="C23" s="104"/>
      <c r="D23" s="110" t="s">
        <v>4</v>
      </c>
      <c r="E23" s="111">
        <f>E9/(0.001*J22)</f>
        <v>10</v>
      </c>
      <c r="F23" s="111">
        <f>F9/(0.001*J23)</f>
        <v>6</v>
      </c>
      <c r="G23" s="112">
        <f>E23/F23</f>
        <v>1.6666666666666667</v>
      </c>
      <c r="I23" s="28" t="s">
        <v>21</v>
      </c>
      <c r="J23" s="109">
        <f>CABINET!C3</f>
        <v>500</v>
      </c>
      <c r="K23" s="29" t="s">
        <v>19</v>
      </c>
      <c r="M23" s="52" t="s">
        <v>22</v>
      </c>
      <c r="N23" s="9" t="str">
        <f>IF(J49&lt;(240*3*250),"TRUE","FALSE")</f>
        <v>TRUE</v>
      </c>
      <c r="O23" s="97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2:28" ht="13.2" x14ac:dyDescent="0.25">
      <c r="B24" s="96"/>
      <c r="C24" s="104"/>
      <c r="D24" s="100" t="s">
        <v>13</v>
      </c>
      <c r="E24" s="113">
        <f>J24*J38</f>
        <v>1280</v>
      </c>
      <c r="F24" s="114">
        <f>J39*J25</f>
        <v>768</v>
      </c>
      <c r="G24" s="115"/>
      <c r="I24" s="24" t="s">
        <v>23</v>
      </c>
      <c r="J24" s="108">
        <f>CABINET!D3</f>
        <v>128</v>
      </c>
      <c r="K24" s="27" t="s">
        <v>24</v>
      </c>
      <c r="M24" s="6" t="s">
        <v>25</v>
      </c>
      <c r="N24" s="9" t="str">
        <f>IF(J49&lt;(240*3*125),"TRUE","FALSE")</f>
        <v>TRUE</v>
      </c>
      <c r="O24" s="97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2:28" ht="15.75" customHeight="1" x14ac:dyDescent="0.25">
      <c r="B25" s="96"/>
      <c r="C25" s="104"/>
      <c r="I25" s="28" t="s">
        <v>26</v>
      </c>
      <c r="J25" s="109">
        <f>CABINET!E3</f>
        <v>128</v>
      </c>
      <c r="K25" s="29" t="s">
        <v>24</v>
      </c>
      <c r="M25" s="52" t="s">
        <v>27</v>
      </c>
      <c r="N25" s="9" t="str">
        <f>IF(J49&lt;(240*3*63),"TRUE","FALSE")</f>
        <v>TRUE</v>
      </c>
      <c r="O25" s="97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2:28" ht="13.8" thickBot="1" x14ac:dyDescent="0.3">
      <c r="B26" s="96"/>
      <c r="D26" s="185" t="s">
        <v>136</v>
      </c>
      <c r="E26" s="186"/>
      <c r="F26" s="186"/>
      <c r="G26" s="14" t="str">
        <f>IF(G9=G14,"TRUE","FALSE")</f>
        <v>FALSE</v>
      </c>
      <c r="H26" s="18"/>
      <c r="I26" s="24" t="s">
        <v>28</v>
      </c>
      <c r="J26" s="108">
        <f>CABINET!F3</f>
        <v>6.6</v>
      </c>
      <c r="K26" s="27" t="s">
        <v>29</v>
      </c>
      <c r="M26" s="6" t="s">
        <v>30</v>
      </c>
      <c r="N26" s="9" t="str">
        <f>IF(J49&lt;(240*3*32),"TRUE","FALSE")</f>
        <v>TRUE</v>
      </c>
      <c r="O26" s="97"/>
      <c r="S26" s="1"/>
      <c r="T26" s="18"/>
      <c r="U26" s="18"/>
      <c r="V26" s="18"/>
      <c r="W26" s="18"/>
      <c r="X26" s="18"/>
      <c r="Y26" s="18"/>
      <c r="Z26" s="18"/>
      <c r="AA26" s="18"/>
      <c r="AB26" s="18"/>
    </row>
    <row r="27" spans="2:28" ht="13.8" thickTop="1" x14ac:dyDescent="0.25">
      <c r="B27" s="96"/>
      <c r="C27" s="7" t="s">
        <v>31</v>
      </c>
      <c r="D27" s="16"/>
      <c r="E27" s="105" t="s">
        <v>11</v>
      </c>
      <c r="F27" s="105" t="s">
        <v>12</v>
      </c>
      <c r="G27" s="47" t="s">
        <v>7</v>
      </c>
      <c r="H27" s="18"/>
      <c r="I27" s="28" t="s">
        <v>32</v>
      </c>
      <c r="J27" s="109">
        <f>CABINET!G3</f>
        <v>120</v>
      </c>
      <c r="K27" s="29" t="s">
        <v>33</v>
      </c>
      <c r="M27" s="52" t="s">
        <v>34</v>
      </c>
      <c r="N27" s="9" t="str">
        <f>IF(J49&lt;(240*3*16),"TRUE","FALSE")</f>
        <v>TRUE</v>
      </c>
      <c r="O27" s="97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28" ht="13.8" thickBot="1" x14ac:dyDescent="0.3">
      <c r="B28" s="96"/>
      <c r="C28" s="7" t="s">
        <v>125</v>
      </c>
      <c r="D28" s="52" t="s">
        <v>35</v>
      </c>
      <c r="E28" s="5">
        <f>E14</f>
        <v>1920</v>
      </c>
      <c r="F28" s="116">
        <f>F14</f>
        <v>1080</v>
      </c>
      <c r="G28" s="54">
        <f>E28/F28</f>
        <v>1.7777777777777777</v>
      </c>
      <c r="H28" s="18"/>
      <c r="I28" s="24" t="s">
        <v>36</v>
      </c>
      <c r="J28" s="108">
        <f>CABINET!H3</f>
        <v>48</v>
      </c>
      <c r="K28" s="27" t="s">
        <v>33</v>
      </c>
      <c r="M28" s="6" t="s">
        <v>37</v>
      </c>
      <c r="N28" s="9" t="str">
        <f>IF(J49&lt;(240*32),"TRUE","FALSE")</f>
        <v>TRUE</v>
      </c>
      <c r="O28" s="97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2:28" ht="13.8" thickTop="1" x14ac:dyDescent="0.25">
      <c r="B29" s="96"/>
      <c r="C29" s="117"/>
      <c r="D29" s="30" t="s">
        <v>4</v>
      </c>
      <c r="E29" s="118">
        <f>E9</f>
        <v>5</v>
      </c>
      <c r="F29" s="119">
        <f>E9*(F28/E28)</f>
        <v>2.8125</v>
      </c>
      <c r="G29" s="20">
        <f>E29/F29</f>
        <v>1.7777777777777777</v>
      </c>
      <c r="H29" s="18"/>
      <c r="I29" s="28" t="s">
        <v>38</v>
      </c>
      <c r="J29" s="120">
        <f>J22/J24</f>
        <v>3.90625</v>
      </c>
      <c r="K29" s="29" t="s">
        <v>19</v>
      </c>
      <c r="M29" s="59" t="s">
        <v>39</v>
      </c>
      <c r="N29" s="32" t="str">
        <f>IF(J49&lt;(240*16),"TRUE","FALSE")</f>
        <v>FALSE</v>
      </c>
      <c r="O29" s="97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2:28" ht="13.2" x14ac:dyDescent="0.25">
      <c r="B30" s="96"/>
      <c r="C30" s="106" t="s">
        <v>129</v>
      </c>
      <c r="D30" s="33"/>
      <c r="E30" s="121"/>
      <c r="F30" s="121"/>
      <c r="G30" s="55"/>
      <c r="H30" s="18"/>
      <c r="I30" s="2" t="s">
        <v>40</v>
      </c>
      <c r="J30" s="18">
        <f>J24*J25</f>
        <v>16384</v>
      </c>
      <c r="K30" s="34" t="s">
        <v>24</v>
      </c>
      <c r="O30" s="97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2:28" ht="13.8" thickBot="1" x14ac:dyDescent="0.3">
      <c r="B31" s="96"/>
      <c r="C31" s="104"/>
      <c r="D31" s="16"/>
      <c r="F31" s="5">
        <v>9</v>
      </c>
      <c r="G31" s="20"/>
      <c r="H31" s="18"/>
      <c r="I31" s="2" t="s">
        <v>122</v>
      </c>
      <c r="J31" s="122">
        <f>(J24/J22)*25.4</f>
        <v>6.5023999999999997</v>
      </c>
      <c r="K31" s="9" t="s">
        <v>126</v>
      </c>
      <c r="O31" s="97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2:28" ht="13.8" thickTop="1" x14ac:dyDescent="0.25">
      <c r="B32" s="96"/>
      <c r="C32" s="104"/>
      <c r="D32" s="56" t="s">
        <v>4</v>
      </c>
      <c r="E32" s="123">
        <f>F9*(E28/F28)</f>
        <v>5.333333333333333</v>
      </c>
      <c r="F32" s="124">
        <f>F9</f>
        <v>3</v>
      </c>
      <c r="G32" s="55">
        <f>E32/F32</f>
        <v>1.7777777777777777</v>
      </c>
      <c r="H32" s="18"/>
      <c r="I32" s="36" t="s">
        <v>41</v>
      </c>
      <c r="J32" s="1">
        <f>(10776/J31)*0.01</f>
        <v>16.572342519685041</v>
      </c>
      <c r="K32" s="9" t="s">
        <v>42</v>
      </c>
      <c r="O32" s="97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2:28" ht="13.2" x14ac:dyDescent="0.25">
      <c r="B33" s="96"/>
      <c r="C33" s="106" t="s">
        <v>130</v>
      </c>
      <c r="D33" s="21"/>
      <c r="E33" s="3"/>
      <c r="F33" s="4"/>
      <c r="G33" s="35"/>
      <c r="H33" s="18"/>
      <c r="I33" s="31" t="s">
        <v>43</v>
      </c>
      <c r="J33" s="43">
        <f>3680/J27</f>
        <v>30.666666666666668</v>
      </c>
      <c r="K33" s="32" t="s">
        <v>44</v>
      </c>
      <c r="O33" s="97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2:28" ht="13.8" thickBot="1" x14ac:dyDescent="0.3">
      <c r="B34" s="96"/>
      <c r="H34" s="18"/>
      <c r="I34" s="38"/>
      <c r="M34" s="187" t="s">
        <v>45</v>
      </c>
      <c r="N34" s="188"/>
      <c r="O34" s="97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2:28" ht="15.75" customHeight="1" thickBot="1" x14ac:dyDescent="0.3">
      <c r="B35" s="96"/>
      <c r="H35" s="18"/>
      <c r="I35" s="168" t="s">
        <v>46</v>
      </c>
      <c r="J35" s="169"/>
      <c r="K35" s="170"/>
      <c r="M35" s="16" t="s">
        <v>47</v>
      </c>
      <c r="N35" s="9" t="str">
        <f>N26</f>
        <v>TRUE</v>
      </c>
      <c r="O35" s="97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2:28" ht="15.75" customHeight="1" thickBot="1" x14ac:dyDescent="0.3">
      <c r="B36" s="96"/>
      <c r="C36" s="125" t="s">
        <v>146</v>
      </c>
      <c r="D36" s="204" t="s">
        <v>135</v>
      </c>
      <c r="E36" s="205"/>
      <c r="F36" s="205"/>
      <c r="G36" s="15" t="str">
        <f>IF(G9&gt;G14,"TRUE",IF(G9&lt;G14,"FALSE"))</f>
        <v>FALSE</v>
      </c>
      <c r="I36" s="2" t="s">
        <v>48</v>
      </c>
      <c r="J36" s="126">
        <f>J38*J39</f>
        <v>60</v>
      </c>
      <c r="K36" s="34" t="s">
        <v>49</v>
      </c>
      <c r="M36" s="60" t="s">
        <v>50</v>
      </c>
      <c r="N36" s="9" t="str">
        <f>N26</f>
        <v>TRUE</v>
      </c>
      <c r="O36" s="97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2:28" ht="15.75" customHeight="1" x14ac:dyDescent="0.25">
      <c r="B37" s="96"/>
      <c r="C37" s="106" t="s">
        <v>149</v>
      </c>
      <c r="D37" s="8" t="s">
        <v>51</v>
      </c>
      <c r="F37" s="200" t="s">
        <v>52</v>
      </c>
      <c r="G37" s="201"/>
      <c r="I37" s="50" t="s">
        <v>53</v>
      </c>
      <c r="J37" s="127">
        <f>ROUNDUP(J36/CABINET!L3,0)</f>
        <v>6</v>
      </c>
      <c r="K37" s="51" t="s">
        <v>54</v>
      </c>
      <c r="M37" s="16" t="s">
        <v>55</v>
      </c>
      <c r="N37" s="9" t="str">
        <f>N25</f>
        <v>TRUE</v>
      </c>
      <c r="O37" s="97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2:28" ht="15.75" customHeight="1" x14ac:dyDescent="0.25">
      <c r="B38" s="96"/>
      <c r="C38" s="128" t="s">
        <v>147</v>
      </c>
      <c r="D38" s="11">
        <f>E24</f>
        <v>1280</v>
      </c>
      <c r="E38" s="129">
        <f>E24*F14/E14</f>
        <v>720</v>
      </c>
      <c r="F38" s="171">
        <f>E38-F24</f>
        <v>-48</v>
      </c>
      <c r="G38" s="172"/>
      <c r="I38" s="2" t="s">
        <v>56</v>
      </c>
      <c r="J38" s="126">
        <f>E9/(0.001*J22)</f>
        <v>10</v>
      </c>
      <c r="K38" s="34" t="s">
        <v>49</v>
      </c>
      <c r="M38" s="61" t="s">
        <v>57</v>
      </c>
      <c r="N38" s="34" t="str">
        <f>N26</f>
        <v>TRUE</v>
      </c>
      <c r="O38" s="97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2:28" ht="15.75" customHeight="1" x14ac:dyDescent="0.25">
      <c r="B39" s="96"/>
      <c r="C39" s="18"/>
      <c r="D39" s="37"/>
      <c r="F39" s="202" t="s">
        <v>58</v>
      </c>
      <c r="G39" s="203"/>
      <c r="H39" s="18"/>
      <c r="I39" s="50" t="s">
        <v>59</v>
      </c>
      <c r="J39" s="127">
        <f>F9/(0.001*J23)</f>
        <v>6</v>
      </c>
      <c r="K39" s="51" t="s">
        <v>49</v>
      </c>
      <c r="M39" s="16" t="s">
        <v>60</v>
      </c>
      <c r="N39" s="34" t="str">
        <f>N26</f>
        <v>TRUE</v>
      </c>
      <c r="O39" s="97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2:28" ht="15.75" customHeight="1" x14ac:dyDescent="0.25">
      <c r="B40" s="96"/>
      <c r="C40" s="18" t="s">
        <v>61</v>
      </c>
      <c r="D40" s="37"/>
      <c r="F40" s="180">
        <f>F38/2</f>
        <v>-24</v>
      </c>
      <c r="G40" s="181"/>
      <c r="H40" s="18"/>
      <c r="I40" s="2" t="s">
        <v>62</v>
      </c>
      <c r="J40" s="126">
        <f>J38*J24</f>
        <v>1280</v>
      </c>
      <c r="K40" s="34" t="s">
        <v>24</v>
      </c>
      <c r="M40" s="60" t="s">
        <v>63</v>
      </c>
      <c r="N40" s="34" t="str">
        <f>N26</f>
        <v>TRUE</v>
      </c>
      <c r="O40" s="97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2:28" ht="15.75" customHeight="1" x14ac:dyDescent="0.25">
      <c r="B41" s="96"/>
      <c r="C41" s="18" t="s">
        <v>152</v>
      </c>
      <c r="D41" s="37"/>
      <c r="G41" s="9"/>
      <c r="H41" s="18"/>
      <c r="I41" s="50" t="s">
        <v>64</v>
      </c>
      <c r="J41" s="127">
        <f>J39*J25</f>
        <v>768</v>
      </c>
      <c r="K41" s="51" t="s">
        <v>24</v>
      </c>
      <c r="M41" s="36" t="s">
        <v>65</v>
      </c>
      <c r="N41" s="34" t="str">
        <f>N25</f>
        <v>TRUE</v>
      </c>
      <c r="O41" s="97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2:28" ht="15.75" customHeight="1" x14ac:dyDescent="0.25">
      <c r="B42" s="96"/>
      <c r="C42" s="18"/>
      <c r="D42" s="37"/>
      <c r="F42" s="173" t="s">
        <v>66</v>
      </c>
      <c r="G42" s="174"/>
      <c r="H42" s="18"/>
      <c r="I42" s="6" t="s">
        <v>67</v>
      </c>
      <c r="J42" s="7">
        <f>E9*F9</f>
        <v>15</v>
      </c>
      <c r="K42" s="9" t="s">
        <v>68</v>
      </c>
      <c r="M42" s="61" t="s">
        <v>141</v>
      </c>
      <c r="N42" s="34" t="str">
        <f>N25</f>
        <v>TRUE</v>
      </c>
      <c r="O42" s="97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2:28" ht="13.2" x14ac:dyDescent="0.25">
      <c r="B43" s="96"/>
      <c r="C43" s="106" t="s">
        <v>148</v>
      </c>
      <c r="D43" s="8" t="s">
        <v>69</v>
      </c>
      <c r="E43" s="1"/>
      <c r="F43" s="171">
        <f>E24-D44</f>
        <v>-85.333333333333258</v>
      </c>
      <c r="G43" s="172"/>
      <c r="H43" s="18"/>
      <c r="I43" s="52" t="s">
        <v>70</v>
      </c>
      <c r="J43" s="130">
        <f>(SQRT((E9^2)+(F9^2)))*1.5</f>
        <v>8.746427842267952</v>
      </c>
      <c r="K43" s="53" t="s">
        <v>42</v>
      </c>
      <c r="M43" s="36" t="s">
        <v>142</v>
      </c>
      <c r="N43" s="34" t="str">
        <f>N25</f>
        <v>TRUE</v>
      </c>
      <c r="O43" s="9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2:28" ht="13.2" x14ac:dyDescent="0.25">
      <c r="B44" s="96"/>
      <c r="C44" s="128" t="s">
        <v>147</v>
      </c>
      <c r="D44" s="10">
        <f>E14*F24/F14</f>
        <v>1365.3333333333333</v>
      </c>
      <c r="E44" s="131">
        <f>F24</f>
        <v>768</v>
      </c>
      <c r="F44" s="173" t="s">
        <v>71</v>
      </c>
      <c r="G44" s="174"/>
      <c r="H44" s="18"/>
      <c r="I44" s="2" t="s">
        <v>72</v>
      </c>
      <c r="J44" s="126">
        <f>J26*J36</f>
        <v>396</v>
      </c>
      <c r="K44" s="34" t="s">
        <v>29</v>
      </c>
      <c r="M44" s="61" t="s">
        <v>143</v>
      </c>
      <c r="N44" s="34" t="str">
        <f>N24</f>
        <v>TRUE</v>
      </c>
      <c r="O44" s="9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2:28" ht="13.2" x14ac:dyDescent="0.25">
      <c r="B45" s="96"/>
      <c r="C45" s="132"/>
      <c r="D45" s="17"/>
      <c r="E45" s="38"/>
      <c r="F45" s="175">
        <f>F43/2</f>
        <v>-42.666666666666629</v>
      </c>
      <c r="G45" s="176"/>
      <c r="H45" s="18"/>
      <c r="I45" s="50" t="s">
        <v>73</v>
      </c>
      <c r="J45" s="133">
        <f>J38</f>
        <v>10</v>
      </c>
      <c r="K45" s="51" t="s">
        <v>74</v>
      </c>
      <c r="L45" s="18"/>
      <c r="M45" s="16" t="s">
        <v>144</v>
      </c>
      <c r="N45" s="9" t="str">
        <f>N23</f>
        <v>TRUE</v>
      </c>
      <c r="O45" s="9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2:28" ht="13.2" x14ac:dyDescent="0.25">
      <c r="B46" s="96"/>
      <c r="C46" s="18"/>
      <c r="H46" s="18"/>
      <c r="I46" s="2" t="s">
        <v>75</v>
      </c>
      <c r="J46" s="18">
        <f>CABINET!I3*J45</f>
        <v>67</v>
      </c>
      <c r="K46" s="34" t="s">
        <v>29</v>
      </c>
      <c r="L46" s="18"/>
      <c r="M46" s="60" t="s">
        <v>145</v>
      </c>
      <c r="N46" s="9" t="str">
        <f>N22</f>
        <v>TRUE</v>
      </c>
      <c r="O46" s="9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2:28" ht="13.2" x14ac:dyDescent="0.25">
      <c r="B47" s="96"/>
      <c r="C47" s="18"/>
      <c r="H47" s="18"/>
      <c r="I47" s="157" t="str">
        <f>IF(J47&gt;100,"OVERWEIGHT","Bumper Load")</f>
        <v>Bumper Load</v>
      </c>
      <c r="J47" s="161">
        <f>100/CABINET!J3*(J26*J39)</f>
        <v>12.983606557377046</v>
      </c>
      <c r="K47" s="162" t="str">
        <f>IF(J47&gt;100,"% !!!","%")</f>
        <v>%</v>
      </c>
      <c r="L47" s="18"/>
      <c r="M47" s="16" t="s">
        <v>76</v>
      </c>
      <c r="N47" s="9" t="str">
        <f>N23</f>
        <v>TRUE</v>
      </c>
      <c r="O47" s="9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2:28" ht="13.8" thickBot="1" x14ac:dyDescent="0.3">
      <c r="B48" s="96"/>
      <c r="C48" s="125" t="s">
        <v>146</v>
      </c>
      <c r="D48" s="204" t="s">
        <v>134</v>
      </c>
      <c r="E48" s="205"/>
      <c r="F48" s="205"/>
      <c r="G48" s="15" t="str">
        <f>IF(G9&gt;G14,"FALSE",IF(G9&lt;G14,"TRUE"))</f>
        <v>TRUE</v>
      </c>
      <c r="H48" s="18"/>
      <c r="I48" s="158" t="s">
        <v>77</v>
      </c>
      <c r="J48" s="159">
        <f>J46+J44</f>
        <v>463</v>
      </c>
      <c r="K48" s="160" t="s">
        <v>29</v>
      </c>
      <c r="L48" s="18"/>
      <c r="M48" s="62" t="s">
        <v>78</v>
      </c>
      <c r="N48" s="32" t="str">
        <f>N22</f>
        <v>TRUE</v>
      </c>
      <c r="O48" s="9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2:28" ht="13.2" x14ac:dyDescent="0.25">
      <c r="B49" s="96"/>
      <c r="C49" s="106" t="s">
        <v>149</v>
      </c>
      <c r="D49" s="8" t="s">
        <v>51</v>
      </c>
      <c r="F49" s="200" t="s">
        <v>79</v>
      </c>
      <c r="G49" s="201"/>
      <c r="I49" s="39" t="s">
        <v>80</v>
      </c>
      <c r="J49" s="134">
        <f>J36*J27</f>
        <v>7200</v>
      </c>
      <c r="K49" s="40" t="s">
        <v>33</v>
      </c>
      <c r="L49" s="18"/>
      <c r="O49" s="9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2:28" ht="13.2" x14ac:dyDescent="0.25">
      <c r="B50" s="96"/>
      <c r="C50" s="128" t="s">
        <v>147</v>
      </c>
      <c r="D50" s="13">
        <f>E14*F24/F14</f>
        <v>1365.3333333333333</v>
      </c>
      <c r="E50" s="163">
        <f>F24</f>
        <v>768</v>
      </c>
      <c r="F50" s="171">
        <f>D50-E24</f>
        <v>85.333333333333258</v>
      </c>
      <c r="G50" s="172"/>
      <c r="I50" s="39" t="s">
        <v>81</v>
      </c>
      <c r="J50" s="135">
        <f>J49/230</f>
        <v>31.304347826086957</v>
      </c>
      <c r="K50" s="40" t="s">
        <v>82</v>
      </c>
      <c r="L50" s="18"/>
      <c r="O50" s="9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2:28" ht="13.2" x14ac:dyDescent="0.25">
      <c r="B51" s="96"/>
      <c r="C51" s="18"/>
      <c r="D51" s="16"/>
      <c r="F51" s="202" t="s">
        <v>83</v>
      </c>
      <c r="G51" s="203"/>
      <c r="I51" s="39" t="s">
        <v>84</v>
      </c>
      <c r="J51" s="134">
        <f>J49/3</f>
        <v>2400</v>
      </c>
      <c r="K51" s="40" t="s">
        <v>85</v>
      </c>
      <c r="L51" s="18"/>
      <c r="M51" s="18"/>
      <c r="N51" s="18"/>
      <c r="O51" s="9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2:28" ht="13.2" x14ac:dyDescent="0.25">
      <c r="B52" s="96"/>
      <c r="C52" s="18" t="s">
        <v>61</v>
      </c>
      <c r="D52" s="16"/>
      <c r="F52" s="180">
        <f>F50/2</f>
        <v>42.666666666666629</v>
      </c>
      <c r="G52" s="181"/>
      <c r="H52" s="18"/>
      <c r="I52" s="39" t="s">
        <v>86</v>
      </c>
      <c r="J52" s="134">
        <f>J50/3</f>
        <v>10.434782608695652</v>
      </c>
      <c r="K52" s="40" t="s">
        <v>87</v>
      </c>
      <c r="L52" s="18"/>
      <c r="M52" s="18"/>
      <c r="N52" s="18"/>
      <c r="O52" s="9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2:28" ht="13.2" x14ac:dyDescent="0.25">
      <c r="B53" s="96"/>
      <c r="C53" s="18" t="s">
        <v>152</v>
      </c>
      <c r="D53" s="16"/>
      <c r="G53" s="9"/>
      <c r="H53" s="18"/>
      <c r="I53" s="41" t="s">
        <v>88</v>
      </c>
      <c r="J53" s="136">
        <f>J36*J28</f>
        <v>2880</v>
      </c>
      <c r="K53" s="42" t="s">
        <v>33</v>
      </c>
      <c r="L53" s="18"/>
      <c r="M53" s="18"/>
      <c r="N53" s="18"/>
      <c r="O53" s="9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2:28" ht="13.2" x14ac:dyDescent="0.25">
      <c r="B54" s="96"/>
      <c r="D54" s="16"/>
      <c r="F54" s="173" t="s">
        <v>89</v>
      </c>
      <c r="G54" s="174"/>
      <c r="I54" s="41" t="s">
        <v>90</v>
      </c>
      <c r="J54" s="137">
        <f>J53/230</f>
        <v>12.521739130434783</v>
      </c>
      <c r="K54" s="42" t="s">
        <v>82</v>
      </c>
      <c r="L54" s="18"/>
      <c r="M54" s="18"/>
      <c r="N54" s="18"/>
      <c r="O54" s="9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2:28" ht="13.2" x14ac:dyDescent="0.25">
      <c r="B55" s="96"/>
      <c r="C55" s="106" t="s">
        <v>148</v>
      </c>
      <c r="D55" s="8" t="s">
        <v>69</v>
      </c>
      <c r="F55" s="171">
        <f>F24-E56</f>
        <v>48</v>
      </c>
      <c r="G55" s="172"/>
      <c r="H55" s="18"/>
      <c r="I55" s="41" t="s">
        <v>91</v>
      </c>
      <c r="J55" s="138">
        <f>J53/3</f>
        <v>960</v>
      </c>
      <c r="K55" s="42" t="s">
        <v>85</v>
      </c>
      <c r="L55" s="18"/>
      <c r="M55" s="18"/>
      <c r="N55" s="18"/>
      <c r="O55" s="9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2:28" ht="13.2" x14ac:dyDescent="0.25">
      <c r="B56" s="96"/>
      <c r="C56" s="128" t="s">
        <v>147</v>
      </c>
      <c r="D56" s="12">
        <f>E24</f>
        <v>1280</v>
      </c>
      <c r="E56" s="129">
        <f>E24*F14/E14</f>
        <v>720</v>
      </c>
      <c r="F56" s="202" t="s">
        <v>92</v>
      </c>
      <c r="G56" s="203"/>
      <c r="H56" s="18"/>
      <c r="I56" s="41" t="s">
        <v>93</v>
      </c>
      <c r="J56" s="136">
        <f>J54/3</f>
        <v>4.1739130434782608</v>
      </c>
      <c r="K56" s="42" t="s">
        <v>87</v>
      </c>
      <c r="L56" s="18"/>
      <c r="M56" s="18"/>
      <c r="N56" s="18"/>
      <c r="O56" s="9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2:28" ht="13.2" x14ac:dyDescent="0.25">
      <c r="B57" s="96"/>
      <c r="C57" s="18"/>
      <c r="D57" s="17"/>
      <c r="E57" s="38"/>
      <c r="F57" s="175">
        <f>F55/2</f>
        <v>24</v>
      </c>
      <c r="G57" s="176"/>
      <c r="H57" s="18"/>
      <c r="I57" s="6" t="s">
        <v>94</v>
      </c>
      <c r="J57" s="122">
        <f>J49/3680</f>
        <v>1.9565217391304348</v>
      </c>
      <c r="K57" s="9" t="s">
        <v>95</v>
      </c>
      <c r="L57" s="18"/>
      <c r="M57" s="18"/>
      <c r="N57" s="18"/>
      <c r="O57" s="9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2:28" ht="13.2" x14ac:dyDescent="0.25">
      <c r="B58" s="96"/>
      <c r="C58" s="18"/>
      <c r="H58" s="18"/>
      <c r="I58" s="16" t="s">
        <v>96</v>
      </c>
      <c r="J58" s="7">
        <f>J27*J38</f>
        <v>1200</v>
      </c>
      <c r="K58" s="9" t="s">
        <v>33</v>
      </c>
      <c r="L58" s="18"/>
      <c r="M58" s="18"/>
      <c r="N58" s="18"/>
      <c r="O58" s="9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2:28" ht="13.2" x14ac:dyDescent="0.25">
      <c r="B59" s="96"/>
      <c r="C59" s="208" t="s">
        <v>150</v>
      </c>
      <c r="D59" s="167" t="s">
        <v>140</v>
      </c>
      <c r="E59" s="165"/>
      <c r="F59" s="165"/>
      <c r="G59" s="166"/>
      <c r="H59" s="18"/>
      <c r="I59" s="17" t="s">
        <v>97</v>
      </c>
      <c r="J59" s="38">
        <f>J27*J39</f>
        <v>720</v>
      </c>
      <c r="K59" s="32" t="s">
        <v>33</v>
      </c>
      <c r="L59" s="18"/>
      <c r="M59" s="18"/>
      <c r="N59" s="18"/>
      <c r="O59" s="9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2:28" ht="13.2" x14ac:dyDescent="0.25">
      <c r="B60" s="96"/>
      <c r="C60" s="18"/>
      <c r="E60" s="145" t="s">
        <v>127</v>
      </c>
      <c r="F60" s="150" t="s">
        <v>131</v>
      </c>
      <c r="G60" s="153">
        <f>(ROUNDUP(F29,0))-F29</f>
        <v>0.1875</v>
      </c>
      <c r="H60" s="18"/>
      <c r="L60" s="18"/>
      <c r="M60" s="18"/>
      <c r="N60" s="18"/>
      <c r="O60" s="9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2:28" ht="13.8" thickBot="1" x14ac:dyDescent="0.3">
      <c r="B61" s="96"/>
      <c r="C61" s="18"/>
      <c r="F61" s="147" t="s">
        <v>132</v>
      </c>
      <c r="G61" s="154">
        <f>128*G60</f>
        <v>24</v>
      </c>
      <c r="H61" s="18"/>
      <c r="I61" s="168" t="s">
        <v>98</v>
      </c>
      <c r="J61" s="169"/>
      <c r="K61" s="170"/>
      <c r="L61" s="18"/>
      <c r="M61" s="18"/>
      <c r="N61" s="18"/>
      <c r="O61" s="9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2:28" ht="13.2" x14ac:dyDescent="0.25">
      <c r="B62" s="96"/>
      <c r="C62" s="18"/>
      <c r="E62" s="151" t="s">
        <v>128</v>
      </c>
      <c r="F62" s="147" t="s">
        <v>131</v>
      </c>
      <c r="G62" s="155">
        <f>(ROUNDUP(E32,0))-E32</f>
        <v>0.66666666666666696</v>
      </c>
      <c r="H62" s="18"/>
      <c r="I62" s="24" t="s">
        <v>99</v>
      </c>
      <c r="J62" s="132">
        <f>J36*J30</f>
        <v>983040</v>
      </c>
      <c r="K62" s="27" t="s">
        <v>24</v>
      </c>
      <c r="L62" s="18"/>
      <c r="M62" s="18"/>
      <c r="N62" s="18"/>
      <c r="O62" s="9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2:28" ht="13.2" x14ac:dyDescent="0.25">
      <c r="B63" s="96"/>
      <c r="C63" s="18"/>
      <c r="F63" s="147" t="s">
        <v>132</v>
      </c>
      <c r="G63" s="154">
        <f>128*G62</f>
        <v>85.333333333333371</v>
      </c>
      <c r="H63" s="18"/>
      <c r="I63" s="57" t="s">
        <v>100</v>
      </c>
      <c r="J63" s="139">
        <f>ROUNDUP(J62/650000,0)</f>
        <v>2</v>
      </c>
      <c r="K63" s="58" t="s">
        <v>137</v>
      </c>
      <c r="L63" s="18"/>
      <c r="M63" s="18"/>
      <c r="N63" s="18"/>
      <c r="O63" s="9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2:28" ht="13.2" x14ac:dyDescent="0.25">
      <c r="B64" s="96"/>
      <c r="C64" s="18"/>
      <c r="H64" s="18"/>
      <c r="I64" s="6" t="s">
        <v>101</v>
      </c>
      <c r="J64" s="7">
        <f>J63*2</f>
        <v>4</v>
      </c>
      <c r="K64" s="9" t="s">
        <v>137</v>
      </c>
      <c r="L64" s="18"/>
      <c r="M64" s="18"/>
      <c r="N64" s="18"/>
      <c r="O64" s="9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2:28" ht="13.2" x14ac:dyDescent="0.25">
      <c r="B65" s="96"/>
      <c r="C65" s="208" t="s">
        <v>151</v>
      </c>
      <c r="D65" s="164" t="s">
        <v>139</v>
      </c>
      <c r="E65" s="165"/>
      <c r="F65" s="165"/>
      <c r="G65" s="166"/>
      <c r="H65" s="18"/>
      <c r="I65" s="57" t="s">
        <v>102</v>
      </c>
      <c r="J65" s="139">
        <f>ROUNDUP(J62/320000,0)</f>
        <v>4</v>
      </c>
      <c r="K65" s="58" t="s">
        <v>137</v>
      </c>
      <c r="L65" s="18"/>
      <c r="M65" s="18"/>
      <c r="N65" s="18"/>
      <c r="O65" s="9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2:28" ht="13.2" customHeight="1" x14ac:dyDescent="0.25">
      <c r="B66" s="96"/>
      <c r="C66" s="18"/>
      <c r="D66" s="151"/>
      <c r="E66" s="145" t="s">
        <v>127</v>
      </c>
      <c r="F66" s="150">
        <f>F14-(E14*(F9/E9))</f>
        <v>-72</v>
      </c>
      <c r="G66" s="152" t="s">
        <v>138</v>
      </c>
      <c r="H66" s="18"/>
      <c r="I66" s="44" t="s">
        <v>101</v>
      </c>
      <c r="J66" s="140">
        <f>J65*2</f>
        <v>8</v>
      </c>
      <c r="K66" s="9" t="s">
        <v>137</v>
      </c>
      <c r="L66" s="18"/>
      <c r="M66" s="18"/>
      <c r="N66" s="18"/>
      <c r="O66" s="9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2:28" ht="13.2" x14ac:dyDescent="0.25">
      <c r="B67" s="96"/>
      <c r="C67" s="18"/>
      <c r="D67" s="151"/>
      <c r="E67" s="151" t="s">
        <v>128</v>
      </c>
      <c r="F67" s="147">
        <f>E14-(F14*(E9/F9))</f>
        <v>120</v>
      </c>
      <c r="G67" s="146" t="s">
        <v>138</v>
      </c>
      <c r="H67" s="18"/>
      <c r="I67" s="50" t="s">
        <v>103</v>
      </c>
      <c r="J67" s="110" t="str">
        <f>IF((J62&lt;2304000),"OK","N/A")</f>
        <v>OK</v>
      </c>
      <c r="K67" s="63">
        <f>J63/4</f>
        <v>0.5</v>
      </c>
      <c r="L67" s="18"/>
      <c r="M67" s="18"/>
      <c r="N67" s="18"/>
      <c r="O67" s="9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2:28" ht="13.2" x14ac:dyDescent="0.25">
      <c r="B68" s="96"/>
      <c r="C68" s="18"/>
      <c r="H68" s="18"/>
      <c r="I68" s="45" t="s">
        <v>104</v>
      </c>
      <c r="J68" s="46" t="str">
        <f>IF((J62&lt;8800000),"OK","N/A")</f>
        <v>OK</v>
      </c>
      <c r="K68" s="64">
        <f>J63/16</f>
        <v>0.125</v>
      </c>
      <c r="L68" s="18"/>
      <c r="M68" s="18"/>
      <c r="N68" s="18"/>
      <c r="O68" s="9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2:28" ht="13.8" thickBot="1" x14ac:dyDescent="0.3">
      <c r="B69" s="141"/>
      <c r="C69" s="142"/>
      <c r="D69" s="143"/>
      <c r="E69" s="143"/>
      <c r="F69" s="143"/>
      <c r="G69" s="143"/>
      <c r="H69" s="142"/>
      <c r="I69" s="143"/>
      <c r="J69" s="143"/>
      <c r="K69" s="143"/>
      <c r="L69" s="142"/>
      <c r="M69" s="142"/>
      <c r="N69" s="142"/>
      <c r="O69" s="144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2:28" ht="13.2" x14ac:dyDescent="0.25">
      <c r="C70" s="18"/>
      <c r="H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2:28" ht="13.2" x14ac:dyDescent="0.25">
      <c r="C71" s="18"/>
      <c r="F71" s="156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2:28" ht="13.2" x14ac:dyDescent="0.25">
      <c r="C72" s="18"/>
      <c r="F72" s="156"/>
      <c r="G72" s="1"/>
      <c r="H72" s="149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2:28" ht="13.2" x14ac:dyDescent="0.25">
      <c r="C73" s="18"/>
      <c r="F73" s="148"/>
      <c r="G73" s="1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2:28" ht="13.2" x14ac:dyDescent="0.2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2:28" ht="13.2" x14ac:dyDescent="0.25">
      <c r="C75" s="18"/>
      <c r="D75" s="18"/>
      <c r="E75" s="18"/>
      <c r="F75" s="18"/>
      <c r="G75" s="149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2:28" ht="13.2" x14ac:dyDescent="0.25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2:28" ht="13.2" x14ac:dyDescent="0.2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2:28" ht="13.2" x14ac:dyDescent="0.25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2:28" ht="13.2" x14ac:dyDescent="0.25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2:28" ht="13.2" x14ac:dyDescent="0.25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3:28" ht="13.2" x14ac:dyDescent="0.25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3:28" ht="13.2" x14ac:dyDescent="0.25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3:28" ht="13.2" x14ac:dyDescent="0.2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3:28" ht="13.2" x14ac:dyDescent="0.25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3:28" ht="13.2" x14ac:dyDescent="0.25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3:28" ht="13.2" x14ac:dyDescent="0.25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3:28" ht="13.2" x14ac:dyDescent="0.25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3:28" ht="13.2" x14ac:dyDescent="0.25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3:28" ht="13.2" x14ac:dyDescent="0.25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3:28" ht="13.2" x14ac:dyDescent="0.2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3:28" ht="13.2" x14ac:dyDescent="0.25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3:28" ht="13.2" x14ac:dyDescent="0.2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3:28" ht="13.2" x14ac:dyDescent="0.2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3:28" ht="13.2" x14ac:dyDescent="0.2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3:28" ht="13.2" x14ac:dyDescent="0.25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3:28" ht="13.2" x14ac:dyDescent="0.25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3:28" ht="13.2" x14ac:dyDescent="0.25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3:28" ht="13.2" x14ac:dyDescent="0.25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3:28" ht="13.2" x14ac:dyDescent="0.25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3:28" ht="13.2" x14ac:dyDescent="0.25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3:28" ht="13.2" x14ac:dyDescent="0.2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3:28" ht="13.2" x14ac:dyDescent="0.2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3:28" ht="13.2" x14ac:dyDescent="0.25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3:28" ht="13.2" x14ac:dyDescent="0.25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3:28" ht="13.2" x14ac:dyDescent="0.25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3:28" ht="13.2" x14ac:dyDescent="0.25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3:28" ht="13.2" x14ac:dyDescent="0.2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3:28" ht="13.2" x14ac:dyDescent="0.2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3:28" ht="13.2" x14ac:dyDescent="0.25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3:28" ht="13.2" x14ac:dyDescent="0.25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3:28" ht="13.2" x14ac:dyDescent="0.25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3:28" ht="13.2" x14ac:dyDescent="0.25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3:28" ht="13.2" x14ac:dyDescent="0.25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3:28" ht="13.2" x14ac:dyDescent="0.25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3:28" ht="13.2" x14ac:dyDescent="0.25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3:28" ht="13.2" x14ac:dyDescent="0.25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3:28" ht="13.2" x14ac:dyDescent="0.25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3:28" ht="13.2" x14ac:dyDescent="0.2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3:28" ht="13.2" x14ac:dyDescent="0.2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3:28" ht="13.2" x14ac:dyDescent="0.2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3:28" ht="13.2" x14ac:dyDescent="0.2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3:28" ht="13.2" x14ac:dyDescent="0.2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3:28" ht="13.2" x14ac:dyDescent="0.2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3:28" ht="13.2" x14ac:dyDescent="0.2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3:28" ht="13.2" x14ac:dyDescent="0.25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3:28" ht="13.2" x14ac:dyDescent="0.2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3:28" ht="13.2" x14ac:dyDescent="0.2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3:28" ht="13.2" x14ac:dyDescent="0.25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3:28" ht="13.2" x14ac:dyDescent="0.25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3:28" ht="13.2" x14ac:dyDescent="0.25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3:28" ht="13.2" x14ac:dyDescent="0.25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3:28" ht="13.2" x14ac:dyDescent="0.25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3:28" ht="13.2" x14ac:dyDescent="0.25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3:28" ht="13.2" x14ac:dyDescent="0.25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3:28" ht="13.2" x14ac:dyDescent="0.25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3:28" ht="13.2" x14ac:dyDescent="0.25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3:28" ht="13.2" x14ac:dyDescent="0.25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3:28" ht="13.2" x14ac:dyDescent="0.25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3:28" ht="13.2" x14ac:dyDescent="0.25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3:28" ht="13.2" x14ac:dyDescent="0.25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3:28" ht="13.2" x14ac:dyDescent="0.25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3:28" ht="13.2" x14ac:dyDescent="0.25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3:28" ht="13.2" x14ac:dyDescent="0.25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3:28" ht="13.2" x14ac:dyDescent="0.25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3:28" ht="13.2" x14ac:dyDescent="0.25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3:28" ht="13.2" x14ac:dyDescent="0.25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3:28" ht="13.2" x14ac:dyDescent="0.25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3:28" ht="13.2" x14ac:dyDescent="0.25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3:28" ht="13.2" x14ac:dyDescent="0.25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3:28" ht="13.2" x14ac:dyDescent="0.25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3:28" ht="13.2" x14ac:dyDescent="0.25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3:28" ht="13.2" x14ac:dyDescent="0.2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3:28" ht="13.2" x14ac:dyDescent="0.25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3:28" ht="13.2" x14ac:dyDescent="0.25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3:28" ht="13.2" x14ac:dyDescent="0.2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3:28" ht="13.2" x14ac:dyDescent="0.25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3:28" ht="13.2" x14ac:dyDescent="0.25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3:28" ht="13.2" x14ac:dyDescent="0.25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3:28" ht="13.2" x14ac:dyDescent="0.25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3:28" ht="13.2" x14ac:dyDescent="0.25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3:28" ht="13.2" x14ac:dyDescent="0.25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3:28" ht="13.2" x14ac:dyDescent="0.25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3:28" ht="13.2" x14ac:dyDescent="0.25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3:28" ht="13.2" x14ac:dyDescent="0.25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3:28" ht="13.2" x14ac:dyDescent="0.25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3:28" ht="13.2" x14ac:dyDescent="0.25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3:28" ht="13.2" x14ac:dyDescent="0.25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3:28" ht="13.2" x14ac:dyDescent="0.25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3:28" ht="13.2" x14ac:dyDescent="0.25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3:28" ht="13.2" x14ac:dyDescent="0.25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3:28" ht="13.2" x14ac:dyDescent="0.25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3:28" ht="13.2" x14ac:dyDescent="0.25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3:28" ht="13.2" x14ac:dyDescent="0.25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3:28" ht="13.2" x14ac:dyDescent="0.2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3:28" ht="13.2" x14ac:dyDescent="0.25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3:28" ht="13.2" x14ac:dyDescent="0.25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3:28" ht="13.2" x14ac:dyDescent="0.25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3:28" ht="13.2" x14ac:dyDescent="0.25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3:28" ht="13.2" x14ac:dyDescent="0.25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3:28" ht="13.2" x14ac:dyDescent="0.25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3:28" ht="13.2" x14ac:dyDescent="0.25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3:28" ht="13.2" x14ac:dyDescent="0.25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3:28" ht="13.2" x14ac:dyDescent="0.25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3:28" ht="13.2" x14ac:dyDescent="0.25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3:28" ht="13.2" x14ac:dyDescent="0.25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3:28" ht="13.2" x14ac:dyDescent="0.25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3:28" ht="13.2" x14ac:dyDescent="0.25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3:28" ht="13.2" x14ac:dyDescent="0.25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3:28" ht="13.2" x14ac:dyDescent="0.25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3:28" ht="13.2" x14ac:dyDescent="0.25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3:28" ht="13.2" x14ac:dyDescent="0.25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3:28" ht="13.2" x14ac:dyDescent="0.25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3:28" ht="13.2" x14ac:dyDescent="0.25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3:28" ht="13.2" x14ac:dyDescent="0.25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3:28" ht="13.2" x14ac:dyDescent="0.25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3:28" ht="13.2" x14ac:dyDescent="0.25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3:28" ht="13.2" x14ac:dyDescent="0.25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3:28" ht="13.2" x14ac:dyDescent="0.25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3:28" ht="13.2" x14ac:dyDescent="0.25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3:28" ht="13.2" x14ac:dyDescent="0.25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3:28" ht="13.2" x14ac:dyDescent="0.25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3:28" ht="13.2" x14ac:dyDescent="0.25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3:28" ht="13.2" x14ac:dyDescent="0.25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3:28" ht="13.2" x14ac:dyDescent="0.25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3:28" ht="13.2" x14ac:dyDescent="0.25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3:28" ht="13.2" x14ac:dyDescent="0.25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3:28" ht="13.2" x14ac:dyDescent="0.25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3:28" ht="13.2" x14ac:dyDescent="0.25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3:28" ht="13.2" x14ac:dyDescent="0.25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3:28" ht="13.2" x14ac:dyDescent="0.25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3:28" ht="13.2" x14ac:dyDescent="0.25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3:28" ht="13.2" x14ac:dyDescent="0.25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3:28" ht="13.2" x14ac:dyDescent="0.25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3:28" ht="13.2" x14ac:dyDescent="0.25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3:28" ht="13.2" x14ac:dyDescent="0.25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3:28" ht="13.2" x14ac:dyDescent="0.25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3:28" ht="13.2" x14ac:dyDescent="0.25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3:28" ht="13.2" x14ac:dyDescent="0.25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3:28" ht="13.2" x14ac:dyDescent="0.25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3:28" ht="13.2" x14ac:dyDescent="0.25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3:28" ht="13.2" x14ac:dyDescent="0.25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3:28" ht="13.2" x14ac:dyDescent="0.25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3:28" ht="13.2" x14ac:dyDescent="0.25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3:28" ht="13.2" x14ac:dyDescent="0.25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3:28" ht="13.2" x14ac:dyDescent="0.25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3:28" ht="13.2" x14ac:dyDescent="0.25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3:28" ht="13.2" x14ac:dyDescent="0.25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3:28" ht="13.2" x14ac:dyDescent="0.25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3:28" ht="13.2" x14ac:dyDescent="0.25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3:28" ht="13.2" x14ac:dyDescent="0.25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3:28" ht="13.2" x14ac:dyDescent="0.25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3:28" ht="13.2" x14ac:dyDescent="0.25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3:28" ht="13.2" x14ac:dyDescent="0.25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3:28" ht="13.2" x14ac:dyDescent="0.25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3:28" ht="13.2" x14ac:dyDescent="0.25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3:28" ht="13.2" x14ac:dyDescent="0.25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3:28" ht="13.2" x14ac:dyDescent="0.25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3:28" ht="13.2" x14ac:dyDescent="0.25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3:28" ht="13.2" x14ac:dyDescent="0.25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3:28" ht="13.2" x14ac:dyDescent="0.25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3:28" ht="13.2" x14ac:dyDescent="0.25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3:28" ht="13.2" x14ac:dyDescent="0.25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3:28" ht="13.2" x14ac:dyDescent="0.25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3:28" ht="13.2" x14ac:dyDescent="0.25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3:28" ht="13.2" x14ac:dyDescent="0.25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3:28" ht="13.2" x14ac:dyDescent="0.25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3:28" ht="13.2" x14ac:dyDescent="0.25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3:28" ht="13.2" x14ac:dyDescent="0.25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3:28" ht="13.2" x14ac:dyDescent="0.25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3:28" ht="13.2" x14ac:dyDescent="0.25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3:28" ht="13.2" x14ac:dyDescent="0.25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3:28" ht="13.2" x14ac:dyDescent="0.25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3:28" ht="13.2" x14ac:dyDescent="0.25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3:28" ht="13.2" x14ac:dyDescent="0.25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3:28" ht="13.2" x14ac:dyDescent="0.25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3:28" ht="13.2" x14ac:dyDescent="0.25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3:28" ht="13.2" x14ac:dyDescent="0.25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3:28" ht="13.2" x14ac:dyDescent="0.25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3:28" ht="13.2" x14ac:dyDescent="0.25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3:28" ht="13.2" x14ac:dyDescent="0.25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3:28" ht="13.2" x14ac:dyDescent="0.25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3:28" ht="13.2" x14ac:dyDescent="0.25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3:28" ht="13.2" x14ac:dyDescent="0.25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3:28" ht="13.2" x14ac:dyDescent="0.25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3:28" ht="13.2" x14ac:dyDescent="0.25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3:28" ht="13.2" x14ac:dyDescent="0.25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3:28" ht="13.2" x14ac:dyDescent="0.25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3:28" ht="13.2" x14ac:dyDescent="0.25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3:28" ht="13.2" x14ac:dyDescent="0.25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3:28" ht="13.2" x14ac:dyDescent="0.25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3:28" ht="13.2" x14ac:dyDescent="0.25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3:28" ht="13.2" x14ac:dyDescent="0.25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3:28" ht="13.2" x14ac:dyDescent="0.25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3:28" ht="13.2" x14ac:dyDescent="0.25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3:28" ht="13.2" x14ac:dyDescent="0.25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3:28" ht="13.2" x14ac:dyDescent="0.25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3:28" ht="13.2" x14ac:dyDescent="0.25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3:28" ht="13.2" x14ac:dyDescent="0.25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3:28" ht="13.2" x14ac:dyDescent="0.25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3:28" ht="13.2" x14ac:dyDescent="0.25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3:28" ht="13.2" x14ac:dyDescent="0.25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3:28" ht="13.2" x14ac:dyDescent="0.25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3:28" ht="13.2" x14ac:dyDescent="0.25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3:28" ht="13.2" x14ac:dyDescent="0.25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3:28" ht="13.2" x14ac:dyDescent="0.25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3:28" ht="13.2" x14ac:dyDescent="0.25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3:28" ht="13.2" x14ac:dyDescent="0.25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3:28" ht="13.2" x14ac:dyDescent="0.25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3:28" ht="13.2" x14ac:dyDescent="0.25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3:28" ht="13.2" x14ac:dyDescent="0.25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3:28" ht="13.2" x14ac:dyDescent="0.25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3:28" ht="13.2" x14ac:dyDescent="0.25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3:28" ht="13.2" x14ac:dyDescent="0.25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3:28" ht="13.2" x14ac:dyDescent="0.25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3:28" ht="13.2" x14ac:dyDescent="0.25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3:28" ht="13.2" x14ac:dyDescent="0.25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3:28" ht="13.2" x14ac:dyDescent="0.25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3:28" ht="13.2" x14ac:dyDescent="0.25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3:28" ht="13.2" x14ac:dyDescent="0.25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3:28" ht="13.2" x14ac:dyDescent="0.25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3:28" ht="13.2" x14ac:dyDescent="0.25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3:28" ht="13.2" x14ac:dyDescent="0.25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3:28" ht="13.2" x14ac:dyDescent="0.25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3:28" ht="13.2" x14ac:dyDescent="0.25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3:28" ht="13.2" x14ac:dyDescent="0.25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3:28" ht="13.2" x14ac:dyDescent="0.25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3:28" ht="13.2" x14ac:dyDescent="0.25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3:28" ht="13.2" x14ac:dyDescent="0.25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3:28" ht="13.2" x14ac:dyDescent="0.25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3:28" ht="13.2" x14ac:dyDescent="0.25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3:28" ht="13.2" x14ac:dyDescent="0.25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3:28" ht="13.2" x14ac:dyDescent="0.25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3:28" ht="13.2" x14ac:dyDescent="0.25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3:28" ht="13.2" x14ac:dyDescent="0.25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3:28" ht="13.2" x14ac:dyDescent="0.25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3:28" ht="13.2" x14ac:dyDescent="0.25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3:28" ht="13.2" x14ac:dyDescent="0.25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3:28" ht="13.2" x14ac:dyDescent="0.25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3:28" ht="13.2" x14ac:dyDescent="0.25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3:28" ht="13.2" x14ac:dyDescent="0.25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3:28" ht="13.2" x14ac:dyDescent="0.25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3:28" ht="13.2" x14ac:dyDescent="0.25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3:28" ht="13.2" x14ac:dyDescent="0.25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3:28" ht="13.2" x14ac:dyDescent="0.25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3:28" ht="13.2" x14ac:dyDescent="0.25"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3:28" ht="13.2" x14ac:dyDescent="0.25"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3:28" ht="13.2" x14ac:dyDescent="0.25"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3:28" ht="13.2" x14ac:dyDescent="0.25"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3:28" ht="13.2" x14ac:dyDescent="0.25"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3:28" ht="13.2" x14ac:dyDescent="0.25"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3:28" ht="13.2" x14ac:dyDescent="0.25"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3:28" ht="13.2" x14ac:dyDescent="0.25"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3:28" ht="13.2" x14ac:dyDescent="0.25"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3:28" ht="13.2" x14ac:dyDescent="0.25"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3:28" ht="13.2" x14ac:dyDescent="0.25"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3:28" ht="13.2" x14ac:dyDescent="0.25"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3:28" ht="13.2" x14ac:dyDescent="0.25"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3:28" ht="13.2" x14ac:dyDescent="0.25"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3:28" ht="13.2" x14ac:dyDescent="0.25"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3:28" ht="13.2" x14ac:dyDescent="0.25"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3:28" ht="13.2" x14ac:dyDescent="0.25"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3:28" ht="13.2" x14ac:dyDescent="0.25"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3:28" ht="13.2" x14ac:dyDescent="0.25"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3:28" ht="13.2" x14ac:dyDescent="0.25"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3:28" ht="13.2" x14ac:dyDescent="0.25"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3:28" ht="13.2" x14ac:dyDescent="0.25"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3:28" ht="13.2" x14ac:dyDescent="0.25"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3:28" ht="13.2" x14ac:dyDescent="0.25"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3:28" ht="13.2" x14ac:dyDescent="0.25"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3:28" ht="13.2" x14ac:dyDescent="0.25"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3:28" ht="13.2" x14ac:dyDescent="0.25"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3:28" ht="13.2" x14ac:dyDescent="0.25"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3:28" ht="13.2" x14ac:dyDescent="0.25"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3:28" ht="13.2" x14ac:dyDescent="0.25"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3:28" ht="13.2" x14ac:dyDescent="0.25"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3:28" ht="13.2" x14ac:dyDescent="0.25"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3:28" ht="13.2" x14ac:dyDescent="0.25"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3:28" ht="13.2" x14ac:dyDescent="0.25"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3:28" ht="13.2" x14ac:dyDescent="0.25"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3:28" ht="13.2" x14ac:dyDescent="0.25"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3:28" ht="13.2" x14ac:dyDescent="0.25"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3:28" ht="13.2" x14ac:dyDescent="0.25"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3:28" ht="13.2" x14ac:dyDescent="0.25"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3:28" ht="13.2" x14ac:dyDescent="0.25"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3:28" ht="13.2" x14ac:dyDescent="0.25"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3:28" ht="13.2" x14ac:dyDescent="0.25"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3:28" ht="13.2" x14ac:dyDescent="0.25"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3:28" ht="13.2" x14ac:dyDescent="0.25"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3:28" ht="13.2" x14ac:dyDescent="0.25"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3:28" ht="13.2" x14ac:dyDescent="0.25"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3:28" ht="13.2" x14ac:dyDescent="0.25"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3:28" ht="13.2" x14ac:dyDescent="0.25"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3:28" ht="13.2" x14ac:dyDescent="0.25"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3:28" ht="13.2" x14ac:dyDescent="0.25"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3:28" ht="13.2" x14ac:dyDescent="0.25"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3:28" ht="13.2" x14ac:dyDescent="0.25"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3:28" ht="13.2" x14ac:dyDescent="0.25"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3:28" ht="13.2" x14ac:dyDescent="0.25"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3:28" ht="13.2" x14ac:dyDescent="0.25"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3:28" ht="13.2" x14ac:dyDescent="0.25"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3:28" ht="13.2" x14ac:dyDescent="0.25"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3:28" ht="13.2" x14ac:dyDescent="0.25"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3:28" ht="13.2" x14ac:dyDescent="0.25"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3:28" ht="13.2" x14ac:dyDescent="0.25"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3:28" ht="13.2" x14ac:dyDescent="0.25"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3:28" ht="13.2" x14ac:dyDescent="0.25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3:28" ht="13.2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3:28" ht="13.2" x14ac:dyDescent="0.25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3:28" ht="13.2" x14ac:dyDescent="0.25"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3:28" ht="13.2" x14ac:dyDescent="0.25"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3:28" ht="13.2" x14ac:dyDescent="0.25"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3:28" ht="13.2" x14ac:dyDescent="0.25"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3:28" ht="13.2" x14ac:dyDescent="0.25"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3:28" ht="13.2" x14ac:dyDescent="0.25"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3:28" ht="13.2" x14ac:dyDescent="0.25"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3:28" ht="13.2" x14ac:dyDescent="0.25"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3:28" ht="13.2" x14ac:dyDescent="0.25"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3:28" ht="13.2" x14ac:dyDescent="0.25"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3:28" ht="13.2" x14ac:dyDescent="0.25"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3:28" ht="13.2" x14ac:dyDescent="0.25"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3:28" ht="13.2" x14ac:dyDescent="0.25"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3:28" ht="13.2" x14ac:dyDescent="0.25"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3:28" ht="13.2" x14ac:dyDescent="0.25"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3:28" ht="13.2" x14ac:dyDescent="0.25"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3:28" ht="13.2" x14ac:dyDescent="0.25"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3:28" ht="13.2" x14ac:dyDescent="0.25"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3:28" ht="13.2" x14ac:dyDescent="0.25"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3:28" ht="13.2" x14ac:dyDescent="0.25"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3:28" ht="13.2" x14ac:dyDescent="0.25"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3:28" ht="13.2" x14ac:dyDescent="0.25"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3:28" ht="13.2" x14ac:dyDescent="0.25"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3:28" ht="13.2" x14ac:dyDescent="0.25"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3:28" ht="13.2" x14ac:dyDescent="0.25"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3:28" ht="13.2" x14ac:dyDescent="0.25"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3:28" ht="13.2" x14ac:dyDescent="0.25"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3:28" ht="13.2" x14ac:dyDescent="0.25"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3:28" ht="13.2" x14ac:dyDescent="0.25"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3:28" ht="13.2" x14ac:dyDescent="0.25"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3:28" ht="13.2" x14ac:dyDescent="0.25"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3:28" ht="13.2" x14ac:dyDescent="0.25"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3:28" ht="13.2" x14ac:dyDescent="0.25"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3:28" ht="13.2" x14ac:dyDescent="0.25"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3:28" ht="13.2" x14ac:dyDescent="0.25"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3:28" ht="13.2" x14ac:dyDescent="0.25"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3:28" ht="13.2" x14ac:dyDescent="0.25"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3:28" ht="13.2" x14ac:dyDescent="0.25"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3:28" ht="13.2" x14ac:dyDescent="0.25"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3:28" ht="13.2" x14ac:dyDescent="0.25"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3:28" ht="13.2" x14ac:dyDescent="0.25"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3:28" ht="13.2" x14ac:dyDescent="0.25"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3:28" ht="13.2" x14ac:dyDescent="0.25"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3:28" ht="13.2" x14ac:dyDescent="0.25"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3:28" ht="13.2" x14ac:dyDescent="0.25"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3:28" ht="13.2" x14ac:dyDescent="0.25"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3:28" ht="13.2" x14ac:dyDescent="0.25"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3:28" ht="13.2" x14ac:dyDescent="0.25"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3:28" ht="13.2" x14ac:dyDescent="0.25"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3:28" ht="13.2" x14ac:dyDescent="0.25"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3:28" ht="13.2" x14ac:dyDescent="0.25"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3:28" ht="13.2" x14ac:dyDescent="0.25"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3:28" ht="13.2" x14ac:dyDescent="0.25"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3:28" ht="13.2" x14ac:dyDescent="0.25"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3:28" ht="13.2" x14ac:dyDescent="0.25"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3:28" ht="13.2" x14ac:dyDescent="0.25"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3:28" ht="13.2" x14ac:dyDescent="0.25"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3:28" ht="13.2" x14ac:dyDescent="0.25"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3:28" ht="13.2" x14ac:dyDescent="0.25"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3:28" ht="13.2" x14ac:dyDescent="0.25"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3:28" ht="13.2" x14ac:dyDescent="0.25"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3:28" ht="13.2" x14ac:dyDescent="0.25"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3:28" ht="13.2" x14ac:dyDescent="0.25"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3:28" ht="13.2" x14ac:dyDescent="0.25"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3:28" ht="13.2" x14ac:dyDescent="0.25"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3:28" ht="13.2" x14ac:dyDescent="0.25"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3:28" ht="13.2" x14ac:dyDescent="0.25"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3:28" ht="13.2" x14ac:dyDescent="0.25"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3:28" ht="13.2" x14ac:dyDescent="0.25"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3:28" ht="13.2" x14ac:dyDescent="0.25"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3:28" ht="13.2" x14ac:dyDescent="0.25"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3:28" ht="13.2" x14ac:dyDescent="0.25"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3:28" ht="13.2" x14ac:dyDescent="0.25"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3:28" ht="13.2" x14ac:dyDescent="0.25"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3:28" ht="13.2" x14ac:dyDescent="0.25"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3:28" ht="13.2" x14ac:dyDescent="0.25"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3:28" ht="13.2" x14ac:dyDescent="0.25"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3:28" ht="13.2" x14ac:dyDescent="0.25"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3:28" ht="13.2" x14ac:dyDescent="0.25"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3:28" ht="13.2" x14ac:dyDescent="0.25"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3:28" ht="13.2" x14ac:dyDescent="0.25"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3:28" ht="13.2" x14ac:dyDescent="0.25"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3:28" ht="13.2" x14ac:dyDescent="0.25"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3:28" ht="13.2" x14ac:dyDescent="0.25"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3:28" ht="13.2" x14ac:dyDescent="0.25"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3:28" ht="13.2" x14ac:dyDescent="0.25"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3:28" ht="13.2" x14ac:dyDescent="0.25"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3:28" ht="13.2" x14ac:dyDescent="0.25"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3:28" ht="13.2" x14ac:dyDescent="0.25"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3:28" ht="13.2" x14ac:dyDescent="0.25"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3:28" ht="13.2" x14ac:dyDescent="0.25"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3:28" ht="13.2" x14ac:dyDescent="0.25"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3:28" ht="13.2" x14ac:dyDescent="0.25"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3:28" ht="13.2" x14ac:dyDescent="0.25"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3:28" ht="13.2" x14ac:dyDescent="0.25"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3:28" ht="13.2" x14ac:dyDescent="0.25"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3:28" ht="13.2" x14ac:dyDescent="0.25"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3:28" ht="13.2" x14ac:dyDescent="0.25"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3:28" ht="13.2" x14ac:dyDescent="0.25"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3:28" ht="13.2" x14ac:dyDescent="0.25"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3:28" ht="13.2" x14ac:dyDescent="0.25"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3:28" ht="13.2" x14ac:dyDescent="0.25"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3:28" ht="13.2" x14ac:dyDescent="0.25"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3:28" ht="13.2" x14ac:dyDescent="0.25"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3:28" ht="13.2" x14ac:dyDescent="0.25"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3:28" ht="13.2" x14ac:dyDescent="0.25"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3:28" ht="13.2" x14ac:dyDescent="0.25"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3:28" ht="13.2" x14ac:dyDescent="0.25"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3:28" ht="13.2" x14ac:dyDescent="0.25"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3:28" ht="13.2" x14ac:dyDescent="0.25"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3:28" ht="13.2" x14ac:dyDescent="0.25"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3:28" ht="13.2" x14ac:dyDescent="0.25"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3:28" ht="13.2" x14ac:dyDescent="0.25"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3:28" ht="13.2" x14ac:dyDescent="0.25"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3:28" ht="13.2" x14ac:dyDescent="0.25"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3:28" ht="13.2" x14ac:dyDescent="0.25"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3:28" ht="13.2" x14ac:dyDescent="0.25"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3:28" ht="13.2" x14ac:dyDescent="0.25"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3:28" ht="13.2" x14ac:dyDescent="0.25"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3:28" ht="13.2" x14ac:dyDescent="0.25"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3:28" ht="13.2" x14ac:dyDescent="0.25"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3:28" ht="13.2" x14ac:dyDescent="0.25"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3:28" ht="13.2" x14ac:dyDescent="0.25"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3:28" ht="13.2" x14ac:dyDescent="0.25"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3:28" ht="13.2" x14ac:dyDescent="0.25"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3:28" ht="13.2" x14ac:dyDescent="0.25"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3:28" ht="13.2" x14ac:dyDescent="0.25"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3:28" ht="13.2" x14ac:dyDescent="0.25"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3:28" ht="13.2" x14ac:dyDescent="0.25"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3:28" ht="13.2" x14ac:dyDescent="0.25"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3:28" ht="13.2" x14ac:dyDescent="0.25"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3:28" ht="13.2" x14ac:dyDescent="0.25"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3:28" ht="13.2" x14ac:dyDescent="0.25"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3:28" ht="13.2" x14ac:dyDescent="0.25"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3:28" ht="13.2" x14ac:dyDescent="0.25"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3:28" ht="13.2" x14ac:dyDescent="0.25"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3:28" ht="13.2" x14ac:dyDescent="0.25"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3:28" ht="13.2" x14ac:dyDescent="0.25"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3:28" ht="13.2" x14ac:dyDescent="0.25"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3:28" ht="13.2" x14ac:dyDescent="0.25"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3:28" ht="13.2" x14ac:dyDescent="0.25"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3:28" ht="13.2" x14ac:dyDescent="0.25"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3:28" ht="13.2" x14ac:dyDescent="0.25"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3:28" ht="13.2" x14ac:dyDescent="0.25"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3:28" ht="13.2" x14ac:dyDescent="0.25"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3:28" ht="13.2" x14ac:dyDescent="0.25"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3:28" ht="13.2" x14ac:dyDescent="0.25"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3:28" ht="13.2" x14ac:dyDescent="0.25"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3:28" ht="13.2" x14ac:dyDescent="0.25"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3:28" ht="13.2" x14ac:dyDescent="0.25"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3:28" ht="13.2" x14ac:dyDescent="0.25"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3:28" ht="13.2" x14ac:dyDescent="0.25"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3:28" ht="13.2" x14ac:dyDescent="0.25"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3:28" ht="13.2" x14ac:dyDescent="0.25"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3:28" ht="13.2" x14ac:dyDescent="0.25"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3:28" ht="13.2" x14ac:dyDescent="0.25"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3:28" ht="13.2" x14ac:dyDescent="0.25"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3:28" ht="13.2" x14ac:dyDescent="0.25"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3:28" ht="13.2" x14ac:dyDescent="0.25"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3:28" ht="13.2" x14ac:dyDescent="0.25"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3:28" ht="13.2" x14ac:dyDescent="0.25"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3:28" ht="13.2" x14ac:dyDescent="0.25"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3:28" ht="13.2" x14ac:dyDescent="0.25"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3:28" ht="13.2" x14ac:dyDescent="0.25"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3:28" ht="13.2" x14ac:dyDescent="0.25"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3:28" ht="13.2" x14ac:dyDescent="0.25"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3:28" ht="13.2" x14ac:dyDescent="0.25"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3:28" ht="13.2" x14ac:dyDescent="0.25"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3:28" ht="13.2" x14ac:dyDescent="0.25"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3:28" ht="13.2" x14ac:dyDescent="0.25"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3:28" ht="13.2" x14ac:dyDescent="0.25"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3:28" ht="13.2" x14ac:dyDescent="0.25"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3:28" ht="13.2" x14ac:dyDescent="0.25"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3:28" ht="13.2" x14ac:dyDescent="0.25"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3:28" ht="13.2" x14ac:dyDescent="0.25"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3:28" ht="13.2" x14ac:dyDescent="0.25"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3:28" ht="13.2" x14ac:dyDescent="0.25"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3:28" ht="13.2" x14ac:dyDescent="0.25"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3:28" ht="13.2" x14ac:dyDescent="0.25"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3:28" ht="13.2" x14ac:dyDescent="0.25"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3:28" ht="13.2" x14ac:dyDescent="0.25"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3:28" ht="13.2" x14ac:dyDescent="0.25"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3:28" ht="13.2" x14ac:dyDescent="0.25"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3:28" ht="13.2" x14ac:dyDescent="0.25"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3:28" ht="13.2" x14ac:dyDescent="0.25"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3:28" ht="13.2" x14ac:dyDescent="0.25"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3:28" ht="13.2" x14ac:dyDescent="0.25"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3:28" ht="13.2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3:28" ht="13.2" x14ac:dyDescent="0.25"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3:28" ht="13.2" x14ac:dyDescent="0.25"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3:28" ht="13.2" x14ac:dyDescent="0.25"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3:28" ht="13.2" x14ac:dyDescent="0.25"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3:28" ht="13.2" x14ac:dyDescent="0.25"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3:28" ht="13.2" x14ac:dyDescent="0.25"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3:28" ht="13.2" x14ac:dyDescent="0.25"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3:28" ht="13.2" x14ac:dyDescent="0.25"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3:28" ht="13.2" x14ac:dyDescent="0.25"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3:28" ht="13.2" x14ac:dyDescent="0.25"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3:28" ht="13.2" x14ac:dyDescent="0.25"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3:28" ht="13.2" x14ac:dyDescent="0.25"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3:28" ht="13.2" x14ac:dyDescent="0.25"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3:28" ht="13.2" x14ac:dyDescent="0.25"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3:28" ht="13.2" x14ac:dyDescent="0.25"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3:28" ht="13.2" x14ac:dyDescent="0.25"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3:28" ht="13.2" x14ac:dyDescent="0.25"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3:28" ht="13.2" x14ac:dyDescent="0.25"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3:28" ht="13.2" x14ac:dyDescent="0.25"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3:28" ht="13.2" x14ac:dyDescent="0.25"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3:28" ht="13.2" x14ac:dyDescent="0.25"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3:28" ht="13.2" x14ac:dyDescent="0.25"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3:28" ht="13.2" x14ac:dyDescent="0.25"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3:28" ht="13.2" x14ac:dyDescent="0.25"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3:28" ht="13.2" x14ac:dyDescent="0.25"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3:28" ht="13.2" x14ac:dyDescent="0.25"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3:28" ht="13.2" x14ac:dyDescent="0.25"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3:28" ht="13.2" x14ac:dyDescent="0.25"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3:28" ht="13.2" x14ac:dyDescent="0.25"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3:28" ht="13.2" x14ac:dyDescent="0.25"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3:28" ht="13.2" x14ac:dyDescent="0.25"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3:28" ht="13.2" x14ac:dyDescent="0.25"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3:28" ht="13.2" x14ac:dyDescent="0.25"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3:28" ht="13.2" x14ac:dyDescent="0.25"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3:28" ht="13.2" x14ac:dyDescent="0.25"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3:28" ht="13.2" x14ac:dyDescent="0.25"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3:28" ht="13.2" x14ac:dyDescent="0.25"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3:28" ht="13.2" x14ac:dyDescent="0.25"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3:28" ht="13.2" x14ac:dyDescent="0.25"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3:28" ht="13.2" x14ac:dyDescent="0.25"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3:28" ht="13.2" x14ac:dyDescent="0.25"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3:28" ht="13.2" x14ac:dyDescent="0.25"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3:28" ht="13.2" x14ac:dyDescent="0.25"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3:28" ht="13.2" x14ac:dyDescent="0.25"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3:28" ht="13.2" x14ac:dyDescent="0.25"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3:28" ht="13.2" x14ac:dyDescent="0.25"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3:28" ht="13.2" x14ac:dyDescent="0.25"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3:28" ht="13.2" x14ac:dyDescent="0.25"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3:28" ht="13.2" x14ac:dyDescent="0.25"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3:28" ht="13.2" x14ac:dyDescent="0.25"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3:28" ht="13.2" x14ac:dyDescent="0.25"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3:28" ht="13.2" x14ac:dyDescent="0.25"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3:28" ht="13.2" x14ac:dyDescent="0.25"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3:28" ht="13.2" x14ac:dyDescent="0.25"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3:28" ht="13.2" x14ac:dyDescent="0.25"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3:28" ht="13.2" x14ac:dyDescent="0.25"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3:28" ht="13.2" x14ac:dyDescent="0.25"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3:28" ht="13.2" x14ac:dyDescent="0.25"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3:28" ht="13.2" x14ac:dyDescent="0.25"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3:28" ht="13.2" x14ac:dyDescent="0.25"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3:28" ht="13.2" x14ac:dyDescent="0.25"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3:28" ht="13.2" x14ac:dyDescent="0.25"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3:28" ht="13.2" x14ac:dyDescent="0.25"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3:28" ht="13.2" x14ac:dyDescent="0.25"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3:28" ht="13.2" x14ac:dyDescent="0.25"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3:28" ht="13.2" x14ac:dyDescent="0.25"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3:28" ht="13.2" x14ac:dyDescent="0.25"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3:28" ht="13.2" x14ac:dyDescent="0.25"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3:28" ht="13.2" x14ac:dyDescent="0.25"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3:28" ht="13.2" x14ac:dyDescent="0.25"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3:28" ht="13.2" x14ac:dyDescent="0.25"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3:28" ht="13.2" x14ac:dyDescent="0.25"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3:28" ht="13.2" x14ac:dyDescent="0.25"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3:28" ht="13.2" x14ac:dyDescent="0.25"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3:28" ht="13.2" x14ac:dyDescent="0.25"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3:28" ht="13.2" x14ac:dyDescent="0.25"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3:28" ht="13.2" x14ac:dyDescent="0.25"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3:28" ht="13.2" x14ac:dyDescent="0.25"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3:28" ht="13.2" x14ac:dyDescent="0.25"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3:28" ht="13.2" x14ac:dyDescent="0.25"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3:28" ht="13.2" x14ac:dyDescent="0.25"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3:28" ht="13.2" x14ac:dyDescent="0.25"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3:28" ht="13.2" x14ac:dyDescent="0.25"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3:28" ht="13.2" x14ac:dyDescent="0.25"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3:28" ht="13.2" x14ac:dyDescent="0.25"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3:28" ht="13.2" x14ac:dyDescent="0.25"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3:28" ht="13.2" x14ac:dyDescent="0.25"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3:28" ht="13.2" x14ac:dyDescent="0.25"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3:28" ht="13.2" x14ac:dyDescent="0.25"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3:28" ht="13.2" x14ac:dyDescent="0.25"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3:28" ht="13.2" x14ac:dyDescent="0.25"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3:28" ht="13.2" x14ac:dyDescent="0.25"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3:28" ht="13.2" x14ac:dyDescent="0.25"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3:28" ht="13.2" x14ac:dyDescent="0.25"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3:28" ht="13.2" x14ac:dyDescent="0.25"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3:28" ht="13.2" x14ac:dyDescent="0.25"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3:28" ht="13.2" x14ac:dyDescent="0.25"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3:28" ht="13.2" x14ac:dyDescent="0.25"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3:28" ht="13.2" x14ac:dyDescent="0.25"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3:28" ht="13.2" x14ac:dyDescent="0.25"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3:28" ht="13.2" x14ac:dyDescent="0.25"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3:28" ht="13.2" x14ac:dyDescent="0.25"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3:28" ht="13.2" x14ac:dyDescent="0.25"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3:28" ht="13.2" x14ac:dyDescent="0.25"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3:28" ht="13.2" x14ac:dyDescent="0.25"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3:28" ht="13.2" x14ac:dyDescent="0.25"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3:28" ht="13.2" x14ac:dyDescent="0.25"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3:28" ht="13.2" x14ac:dyDescent="0.25"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3:28" ht="13.2" x14ac:dyDescent="0.25"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3:28" ht="13.2" x14ac:dyDescent="0.25"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3:28" ht="13.2" x14ac:dyDescent="0.25"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3:28" ht="13.2" x14ac:dyDescent="0.25"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3:28" ht="13.2" x14ac:dyDescent="0.25"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3:28" ht="13.2" x14ac:dyDescent="0.25"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3:28" ht="13.2" x14ac:dyDescent="0.25"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3:28" ht="13.2" x14ac:dyDescent="0.25"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3:28" ht="13.2" x14ac:dyDescent="0.25"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3:28" ht="13.2" x14ac:dyDescent="0.25"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3:28" ht="13.2" x14ac:dyDescent="0.25"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3:28" ht="13.2" x14ac:dyDescent="0.25"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3:28" ht="13.2" x14ac:dyDescent="0.25"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3:28" ht="13.2" x14ac:dyDescent="0.25"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3:28" ht="13.2" x14ac:dyDescent="0.25"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3:28" ht="13.2" x14ac:dyDescent="0.25"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3:28" ht="13.2" x14ac:dyDescent="0.25"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3:28" ht="13.2" x14ac:dyDescent="0.25"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3:28" ht="13.2" x14ac:dyDescent="0.25"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3:28" ht="13.2" x14ac:dyDescent="0.25"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3:28" ht="13.2" x14ac:dyDescent="0.25"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3:28" ht="13.2" x14ac:dyDescent="0.25"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3:28" ht="13.2" x14ac:dyDescent="0.25"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3:28" ht="13.2" x14ac:dyDescent="0.25"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3:28" ht="13.2" x14ac:dyDescent="0.25"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3:28" ht="13.2" x14ac:dyDescent="0.25"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3:28" ht="13.2" x14ac:dyDescent="0.25"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3:28" ht="13.2" x14ac:dyDescent="0.25"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3:28" ht="13.2" x14ac:dyDescent="0.25"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3:28" ht="13.2" x14ac:dyDescent="0.25"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3:28" ht="13.2" x14ac:dyDescent="0.25"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3:28" ht="13.2" x14ac:dyDescent="0.25"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3:28" ht="13.2" x14ac:dyDescent="0.25"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3:28" ht="13.2" x14ac:dyDescent="0.25"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3:28" ht="13.2" x14ac:dyDescent="0.25"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3:28" ht="13.2" x14ac:dyDescent="0.25"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3:28" ht="13.2" x14ac:dyDescent="0.25"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3:28" ht="13.2" x14ac:dyDescent="0.25"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3:28" ht="13.2" x14ac:dyDescent="0.25"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3:28" ht="13.2" x14ac:dyDescent="0.25"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3:28" ht="13.2" x14ac:dyDescent="0.25"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3:28" ht="13.2" x14ac:dyDescent="0.25"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3:28" ht="13.2" x14ac:dyDescent="0.25"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3:28" ht="13.2" x14ac:dyDescent="0.25"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3:28" ht="13.2" x14ac:dyDescent="0.25"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3:28" ht="13.2" x14ac:dyDescent="0.25"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3:28" ht="13.2" x14ac:dyDescent="0.25"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3:28" ht="13.2" x14ac:dyDescent="0.25"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3:28" ht="13.2" x14ac:dyDescent="0.25"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3:28" ht="13.2" x14ac:dyDescent="0.25"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3:28" ht="13.2" x14ac:dyDescent="0.25"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3:28" ht="13.2" x14ac:dyDescent="0.25"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3:28" ht="13.2" x14ac:dyDescent="0.25"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3:28" ht="13.2" x14ac:dyDescent="0.25"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3:28" ht="13.2" x14ac:dyDescent="0.25"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3:28" ht="13.2" x14ac:dyDescent="0.25"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3:28" ht="13.2" x14ac:dyDescent="0.25"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3:28" ht="13.2" x14ac:dyDescent="0.25"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3:28" ht="13.2" x14ac:dyDescent="0.25"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3:28" ht="13.2" x14ac:dyDescent="0.25"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3:28" ht="13.2" x14ac:dyDescent="0.25"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3:28" ht="13.2" x14ac:dyDescent="0.25"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3:28" ht="13.2" x14ac:dyDescent="0.25"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3:28" ht="13.2" x14ac:dyDescent="0.25"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3:28" ht="13.2" x14ac:dyDescent="0.25"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3:28" ht="13.2" x14ac:dyDescent="0.25"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3:28" ht="13.2" x14ac:dyDescent="0.25"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3:28" ht="13.2" x14ac:dyDescent="0.25"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3:28" ht="13.2" x14ac:dyDescent="0.25"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3:28" ht="13.2" x14ac:dyDescent="0.25"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3:28" ht="13.2" x14ac:dyDescent="0.25"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3:28" ht="13.2" x14ac:dyDescent="0.25"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3:28" ht="13.2" x14ac:dyDescent="0.25"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3:28" ht="13.2" x14ac:dyDescent="0.25"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3:28" ht="13.2" x14ac:dyDescent="0.25"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3:28" ht="13.2" x14ac:dyDescent="0.25"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3:28" ht="13.2" x14ac:dyDescent="0.25"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3:28" ht="13.2" x14ac:dyDescent="0.25"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3:28" ht="13.2" x14ac:dyDescent="0.25"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3:28" ht="13.2" x14ac:dyDescent="0.25"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3:28" ht="13.2" x14ac:dyDescent="0.25"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3:28" ht="13.2" x14ac:dyDescent="0.25"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3:28" ht="13.2" x14ac:dyDescent="0.25"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3:28" ht="13.2" x14ac:dyDescent="0.25"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3:28" ht="13.2" x14ac:dyDescent="0.25"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3:28" ht="13.2" x14ac:dyDescent="0.25"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3:28" ht="13.2" x14ac:dyDescent="0.25"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3:28" ht="13.2" x14ac:dyDescent="0.25"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3:28" ht="13.2" x14ac:dyDescent="0.25"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3:28" ht="13.2" x14ac:dyDescent="0.25"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3:28" ht="13.2" x14ac:dyDescent="0.25"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3:28" ht="13.2" x14ac:dyDescent="0.25"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3:28" ht="13.2" x14ac:dyDescent="0.25"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3:28" ht="13.2" x14ac:dyDescent="0.25"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3:28" ht="13.2" x14ac:dyDescent="0.25"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3:28" ht="13.2" x14ac:dyDescent="0.25"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3:28" ht="13.2" x14ac:dyDescent="0.25"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3:28" ht="13.2" x14ac:dyDescent="0.25"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3:28" ht="13.2" x14ac:dyDescent="0.25"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3:28" ht="13.2" x14ac:dyDescent="0.25"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3:28" ht="13.2" x14ac:dyDescent="0.25"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3:28" ht="13.2" x14ac:dyDescent="0.25"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3:28" ht="13.2" x14ac:dyDescent="0.25"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3:28" ht="13.2" x14ac:dyDescent="0.25"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3:28" ht="13.2" x14ac:dyDescent="0.25"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3:28" ht="13.2" x14ac:dyDescent="0.25"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3:28" ht="13.2" x14ac:dyDescent="0.25"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3:28" ht="13.2" x14ac:dyDescent="0.25"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3:28" ht="13.2" x14ac:dyDescent="0.25"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3:28" ht="13.2" x14ac:dyDescent="0.25"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3:28" ht="13.2" x14ac:dyDescent="0.25"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3:28" ht="13.2" x14ac:dyDescent="0.25"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3:28" ht="13.2" x14ac:dyDescent="0.25"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3:28" ht="13.2" x14ac:dyDescent="0.25"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3:28" ht="13.2" x14ac:dyDescent="0.25"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3:28" ht="13.2" x14ac:dyDescent="0.25"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3:28" ht="13.2" x14ac:dyDescent="0.25"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3:28" ht="13.2" x14ac:dyDescent="0.25"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3:28" ht="13.2" x14ac:dyDescent="0.25"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3:28" ht="13.2" x14ac:dyDescent="0.25"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3:28" ht="13.2" x14ac:dyDescent="0.25"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3:28" ht="13.2" x14ac:dyDescent="0.25"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3:28" ht="13.2" x14ac:dyDescent="0.25"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3:28" ht="13.2" x14ac:dyDescent="0.25"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3:28" ht="13.2" x14ac:dyDescent="0.25"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3:28" ht="13.2" x14ac:dyDescent="0.25"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3:28" ht="13.2" x14ac:dyDescent="0.25"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3:28" ht="13.2" x14ac:dyDescent="0.25"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3:28" ht="13.2" x14ac:dyDescent="0.25"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3:28" ht="13.2" x14ac:dyDescent="0.25"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3:28" ht="13.2" x14ac:dyDescent="0.25"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3:28" ht="13.2" x14ac:dyDescent="0.25"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3:28" ht="13.2" x14ac:dyDescent="0.25"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3:28" ht="13.2" x14ac:dyDescent="0.25"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3:28" ht="13.2" x14ac:dyDescent="0.25"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3:28" ht="13.2" x14ac:dyDescent="0.25"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3:28" ht="13.2" x14ac:dyDescent="0.25"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3:28" ht="13.2" x14ac:dyDescent="0.25"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3:28" ht="13.2" x14ac:dyDescent="0.25"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3:28" ht="13.2" x14ac:dyDescent="0.25"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3:28" ht="13.2" x14ac:dyDescent="0.25"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3:28" ht="13.2" x14ac:dyDescent="0.25"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3:28" ht="13.2" x14ac:dyDescent="0.25"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3:28" ht="13.2" x14ac:dyDescent="0.25"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3:28" ht="13.2" x14ac:dyDescent="0.25"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3:28" ht="13.2" x14ac:dyDescent="0.25"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3:28" ht="13.2" x14ac:dyDescent="0.25"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3:28" ht="13.2" x14ac:dyDescent="0.25"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3:28" ht="13.2" x14ac:dyDescent="0.25"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3:28" ht="13.2" x14ac:dyDescent="0.25"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3:28" ht="13.2" x14ac:dyDescent="0.25"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3:28" ht="13.2" x14ac:dyDescent="0.25"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3:28" ht="13.2" x14ac:dyDescent="0.25"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3:28" ht="13.2" x14ac:dyDescent="0.25"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3:28" ht="13.2" x14ac:dyDescent="0.25"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3:28" ht="13.2" x14ac:dyDescent="0.25"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3:28" ht="13.2" x14ac:dyDescent="0.25"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3:28" ht="13.2" x14ac:dyDescent="0.25"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3:28" ht="13.2" x14ac:dyDescent="0.25"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3:28" ht="13.2" x14ac:dyDescent="0.25"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3:28" ht="13.2" x14ac:dyDescent="0.25"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3:28" ht="13.2" x14ac:dyDescent="0.25"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3:28" ht="13.2" x14ac:dyDescent="0.25"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3:28" ht="13.2" x14ac:dyDescent="0.25"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3:28" ht="13.2" x14ac:dyDescent="0.25"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3:28" ht="13.2" x14ac:dyDescent="0.25"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3:28" ht="13.2" x14ac:dyDescent="0.25"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3:28" ht="13.2" x14ac:dyDescent="0.25"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3:28" ht="13.2" x14ac:dyDescent="0.25"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3:28" ht="13.2" x14ac:dyDescent="0.25"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3:28" ht="13.2" x14ac:dyDescent="0.25"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3:28" ht="13.2" x14ac:dyDescent="0.25"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3:28" ht="13.2" x14ac:dyDescent="0.25"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3:28" ht="13.2" x14ac:dyDescent="0.25"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3:28" ht="13.2" x14ac:dyDescent="0.25"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3:28" ht="13.2" x14ac:dyDescent="0.25"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3:28" ht="13.2" x14ac:dyDescent="0.25"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3:28" ht="13.2" x14ac:dyDescent="0.25"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3:28" ht="13.2" x14ac:dyDescent="0.25"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3:28" ht="13.2" x14ac:dyDescent="0.25"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3:28" ht="13.2" x14ac:dyDescent="0.25"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3:28" ht="13.2" x14ac:dyDescent="0.25"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3:28" ht="13.2" x14ac:dyDescent="0.25"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3:28" ht="13.2" x14ac:dyDescent="0.25"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3:28" ht="13.2" x14ac:dyDescent="0.25"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3:28" ht="13.2" x14ac:dyDescent="0.25"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3:28" ht="13.2" x14ac:dyDescent="0.25"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3:28" ht="13.2" x14ac:dyDescent="0.25"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3:28" ht="13.2" x14ac:dyDescent="0.25"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3:28" ht="13.2" x14ac:dyDescent="0.25"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3:28" ht="13.2" x14ac:dyDescent="0.25"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3:28" ht="13.2" x14ac:dyDescent="0.25"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3:28" ht="13.2" x14ac:dyDescent="0.25"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3:28" ht="13.2" x14ac:dyDescent="0.25"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3:28" ht="13.2" x14ac:dyDescent="0.25"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3:28" ht="13.2" x14ac:dyDescent="0.25"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3:28" ht="13.2" x14ac:dyDescent="0.25"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3:28" ht="13.2" x14ac:dyDescent="0.25"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3:28" ht="13.2" x14ac:dyDescent="0.25"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3:28" ht="13.2" x14ac:dyDescent="0.25"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3:28" ht="13.2" x14ac:dyDescent="0.25"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3:28" ht="13.2" x14ac:dyDescent="0.25"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3:28" ht="13.2" x14ac:dyDescent="0.25"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3:28" ht="13.2" x14ac:dyDescent="0.25"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3:28" ht="13.2" x14ac:dyDescent="0.25"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3:28" ht="13.2" x14ac:dyDescent="0.25"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3:28" ht="13.2" x14ac:dyDescent="0.25"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3:28" ht="13.2" x14ac:dyDescent="0.25"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3:28" ht="13.2" x14ac:dyDescent="0.25"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3:28" ht="13.2" x14ac:dyDescent="0.25"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3:28" ht="13.2" x14ac:dyDescent="0.25"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3:28" ht="13.2" x14ac:dyDescent="0.25"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3:28" ht="13.2" x14ac:dyDescent="0.25"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3:28" ht="13.2" x14ac:dyDescent="0.25"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3:28" ht="13.2" x14ac:dyDescent="0.25"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3:28" ht="13.2" x14ac:dyDescent="0.25"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3:28" ht="13.2" x14ac:dyDescent="0.25"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3:28" ht="13.2" x14ac:dyDescent="0.25"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3:28" ht="13.2" x14ac:dyDescent="0.25"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3:28" ht="13.2" x14ac:dyDescent="0.25"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3:28" ht="13.2" x14ac:dyDescent="0.25"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3:28" ht="13.2" x14ac:dyDescent="0.25"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3:28" ht="13.2" x14ac:dyDescent="0.25"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3:28" ht="13.2" x14ac:dyDescent="0.25"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3:28" ht="13.2" x14ac:dyDescent="0.25"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3:28" ht="13.2" x14ac:dyDescent="0.25"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3:28" ht="13.2" x14ac:dyDescent="0.25"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3:28" ht="13.2" x14ac:dyDescent="0.25"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3:28" ht="13.2" x14ac:dyDescent="0.25"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3:28" ht="13.2" x14ac:dyDescent="0.25"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3:28" ht="13.2" x14ac:dyDescent="0.25"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3:28" ht="13.2" x14ac:dyDescent="0.25"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3:28" ht="13.2" x14ac:dyDescent="0.25"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3:28" ht="13.2" x14ac:dyDescent="0.25"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3:28" ht="13.2" x14ac:dyDescent="0.25"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3:28" ht="13.2" x14ac:dyDescent="0.25"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3:28" ht="13.2" x14ac:dyDescent="0.25"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3:28" ht="13.2" x14ac:dyDescent="0.25"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3:28" ht="13.2" x14ac:dyDescent="0.25"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3:28" ht="13.2" x14ac:dyDescent="0.25"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3:28" ht="13.2" x14ac:dyDescent="0.25"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3:28" ht="13.2" x14ac:dyDescent="0.25"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3:28" ht="13.2" x14ac:dyDescent="0.25"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3:28" ht="13.2" x14ac:dyDescent="0.25"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3:28" ht="13.2" x14ac:dyDescent="0.25"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3:28" ht="13.2" x14ac:dyDescent="0.25"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3:28" ht="13.2" x14ac:dyDescent="0.25"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3:28" ht="13.2" x14ac:dyDescent="0.25"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3:28" ht="13.2" x14ac:dyDescent="0.25"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3:28" ht="13.2" x14ac:dyDescent="0.25"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3:28" ht="13.2" x14ac:dyDescent="0.25"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3:28" ht="13.2" x14ac:dyDescent="0.25"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3:28" ht="13.2" x14ac:dyDescent="0.25"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3:28" ht="13.2" x14ac:dyDescent="0.25"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3:28" ht="13.2" x14ac:dyDescent="0.25"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3:28" ht="13.2" x14ac:dyDescent="0.25"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3:28" ht="13.2" x14ac:dyDescent="0.25"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3:28" ht="13.2" x14ac:dyDescent="0.25"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3:28" ht="13.2" x14ac:dyDescent="0.25"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3:28" ht="13.2" x14ac:dyDescent="0.25"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3:28" ht="13.2" x14ac:dyDescent="0.25"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3:28" ht="13.2" x14ac:dyDescent="0.25"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3:28" ht="13.2" x14ac:dyDescent="0.25"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3:28" ht="13.2" x14ac:dyDescent="0.25"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3:28" ht="13.2" x14ac:dyDescent="0.25"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3:28" ht="13.2" x14ac:dyDescent="0.25"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3:28" ht="13.2" x14ac:dyDescent="0.25"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3:28" ht="13.2" x14ac:dyDescent="0.25"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3:28" ht="13.2" x14ac:dyDescent="0.25"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3:28" ht="13.2" x14ac:dyDescent="0.25"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3:28" ht="13.2" x14ac:dyDescent="0.25"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3:28" ht="13.2" x14ac:dyDescent="0.25"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3:28" ht="13.2" x14ac:dyDescent="0.25"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3:28" ht="13.2" x14ac:dyDescent="0.25"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3:28" ht="13.2" x14ac:dyDescent="0.25"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3:28" ht="13.2" x14ac:dyDescent="0.25"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3:28" ht="13.2" x14ac:dyDescent="0.25"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3:28" ht="13.2" x14ac:dyDescent="0.25"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3:28" ht="13.2" x14ac:dyDescent="0.25"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3:28" ht="13.2" x14ac:dyDescent="0.25"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3:28" ht="13.2" x14ac:dyDescent="0.25"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3:28" ht="13.2" x14ac:dyDescent="0.25"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3:28" ht="13.2" x14ac:dyDescent="0.25"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3:28" ht="13.2" x14ac:dyDescent="0.25"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3:28" ht="13.2" x14ac:dyDescent="0.25"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3:28" ht="13.2" x14ac:dyDescent="0.25"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3:28" ht="13.2" x14ac:dyDescent="0.25"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3:28" ht="13.2" x14ac:dyDescent="0.25"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3:28" ht="13.2" x14ac:dyDescent="0.25"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3:28" ht="13.2" x14ac:dyDescent="0.25"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3:28" ht="13.2" x14ac:dyDescent="0.25"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3:28" ht="13.2" x14ac:dyDescent="0.25"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3:28" ht="13.2" x14ac:dyDescent="0.25"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3:28" ht="13.2" x14ac:dyDescent="0.25"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3:28" ht="13.2" x14ac:dyDescent="0.25"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3:28" ht="13.2" x14ac:dyDescent="0.25"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3:28" ht="13.2" x14ac:dyDescent="0.25"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3:28" ht="13.2" x14ac:dyDescent="0.25"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3:28" ht="13.2" x14ac:dyDescent="0.25"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3:28" ht="13.2" x14ac:dyDescent="0.25"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3:28" ht="13.2" x14ac:dyDescent="0.25"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3:28" ht="13.2" x14ac:dyDescent="0.25"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3:28" ht="13.2" x14ac:dyDescent="0.25"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3:28" ht="13.2" x14ac:dyDescent="0.25"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3:28" ht="13.2" x14ac:dyDescent="0.25"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3:28" ht="13.2" x14ac:dyDescent="0.25"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3:28" ht="13.2" x14ac:dyDescent="0.25"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3:28" ht="13.2" x14ac:dyDescent="0.25"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3:28" ht="13.2" x14ac:dyDescent="0.25"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3:28" ht="13.2" x14ac:dyDescent="0.25"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3:28" ht="13.2" x14ac:dyDescent="0.25"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3:28" ht="13.2" x14ac:dyDescent="0.25"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3:28" ht="13.2" x14ac:dyDescent="0.25"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3:28" ht="13.2" x14ac:dyDescent="0.25"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3:28" ht="13.2" x14ac:dyDescent="0.25"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3:28" ht="13.2" x14ac:dyDescent="0.25"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  <row r="1001" spans="3:28" ht="13.2" x14ac:dyDescent="0.25"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</row>
    <row r="1002" spans="3:28" ht="13.2" x14ac:dyDescent="0.25"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</row>
    <row r="1003" spans="3:28" ht="13.2" x14ac:dyDescent="0.25"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</row>
    <row r="1004" spans="3:28" ht="13.2" x14ac:dyDescent="0.25"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</row>
    <row r="1005" spans="3:28" ht="13.2" x14ac:dyDescent="0.25"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</row>
  </sheetData>
  <mergeCells count="37">
    <mergeCell ref="M34:N34"/>
    <mergeCell ref="F57:G57"/>
    <mergeCell ref="I21:K21"/>
    <mergeCell ref="I35:K35"/>
    <mergeCell ref="F49:G49"/>
    <mergeCell ref="F50:G50"/>
    <mergeCell ref="F51:G51"/>
    <mergeCell ref="F52:G52"/>
    <mergeCell ref="F54:G54"/>
    <mergeCell ref="D36:F36"/>
    <mergeCell ref="D48:F48"/>
    <mergeCell ref="F37:G37"/>
    <mergeCell ref="F38:G38"/>
    <mergeCell ref="F39:G39"/>
    <mergeCell ref="F55:G55"/>
    <mergeCell ref="F56:G56"/>
    <mergeCell ref="C3:G3"/>
    <mergeCell ref="D26:F26"/>
    <mergeCell ref="C4:G4"/>
    <mergeCell ref="M21:N21"/>
    <mergeCell ref="H3:N4"/>
    <mergeCell ref="H5:N6"/>
    <mergeCell ref="L7:N7"/>
    <mergeCell ref="J8:N8"/>
    <mergeCell ref="D7:G7"/>
    <mergeCell ref="I12:N15"/>
    <mergeCell ref="D12:G12"/>
    <mergeCell ref="F40:G40"/>
    <mergeCell ref="F42:G42"/>
    <mergeCell ref="D21:G21"/>
    <mergeCell ref="C5:G5"/>
    <mergeCell ref="D65:G65"/>
    <mergeCell ref="D59:G59"/>
    <mergeCell ref="I61:K61"/>
    <mergeCell ref="F43:G43"/>
    <mergeCell ref="F44:G44"/>
    <mergeCell ref="F45:G45"/>
  </mergeCells>
  <conditionalFormatting sqref="D27:G33">
    <cfRule type="expression" dxfId="52" priority="86">
      <formula>$G$26</formula>
    </cfRule>
  </conditionalFormatting>
  <conditionalFormatting sqref="D37:G45">
    <cfRule type="expression" dxfId="51" priority="5">
      <formula>$G$36="TRUE"</formula>
    </cfRule>
    <cfRule type="expression" dxfId="50" priority="6">
      <formula>$G$36="FALSE"</formula>
    </cfRule>
  </conditionalFormatting>
  <conditionalFormatting sqref="D49:G57">
    <cfRule type="expression" dxfId="49" priority="1">
      <formula>$G$48="FALSE"</formula>
    </cfRule>
    <cfRule type="expression" dxfId="48" priority="2">
      <formula>$G$48="TRUE"</formula>
    </cfRule>
  </conditionalFormatting>
  <conditionalFormatting sqref="D66:G66">
    <cfRule type="expression" dxfId="47" priority="11">
      <formula>$F$66&gt;1</formula>
    </cfRule>
    <cfRule type="expression" dxfId="46" priority="14">
      <formula>$F$66&lt;0</formula>
    </cfRule>
  </conditionalFormatting>
  <conditionalFormatting sqref="D66:G67">
    <cfRule type="expression" dxfId="45" priority="13">
      <formula>$F$67&lt;0</formula>
    </cfRule>
    <cfRule type="expression" dxfId="44" priority="9">
      <formula>$F$66=0</formula>
    </cfRule>
    <cfRule type="expression" dxfId="43" priority="10">
      <formula>$F$67=0</formula>
    </cfRule>
  </conditionalFormatting>
  <conditionalFormatting sqref="D67:G67">
    <cfRule type="expression" dxfId="42" priority="12">
      <formula>$F$67&gt;1</formula>
    </cfRule>
  </conditionalFormatting>
  <conditionalFormatting sqref="G10">
    <cfRule type="containsText" dxfId="41" priority="96" operator="containsText" text="16/9">
      <formula>NOT(ISERROR(SEARCH("16/9",G10)))</formula>
    </cfRule>
  </conditionalFormatting>
  <conditionalFormatting sqref="G14">
    <cfRule type="expression" dxfId="40" priority="18">
      <formula>$G$15="16/9"</formula>
    </cfRule>
  </conditionalFormatting>
  <conditionalFormatting sqref="G15">
    <cfRule type="containsText" dxfId="39" priority="94" operator="containsText" text="16/9">
      <formula>NOT(ISERROR(SEARCH("16/9",G15)))</formula>
    </cfRule>
  </conditionalFormatting>
  <conditionalFormatting sqref="G36">
    <cfRule type="expression" dxfId="38" priority="8">
      <formula>$G$36="FALSE"</formula>
    </cfRule>
    <cfRule type="expression" dxfId="37" priority="7">
      <formula>$G$36="TRUE"</formula>
    </cfRule>
  </conditionalFormatting>
  <conditionalFormatting sqref="G48">
    <cfRule type="expression" dxfId="36" priority="3">
      <formula>$G$48="FALSE"</formula>
    </cfRule>
    <cfRule type="expression" dxfId="35" priority="4">
      <formula>$G$48="TRUE"</formula>
    </cfRule>
  </conditionalFormatting>
  <conditionalFormatting sqref="I47:K47">
    <cfRule type="expression" dxfId="34" priority="23">
      <formula>$J$47&gt;100</formula>
    </cfRule>
    <cfRule type="expression" dxfId="33" priority="103">
      <formula>$J$47&lt;50</formula>
    </cfRule>
    <cfRule type="expression" dxfId="32" priority="100">
      <formula>$J$47&gt;69</formula>
    </cfRule>
    <cfRule type="expression" dxfId="31" priority="101">
      <formula>$J$47&gt;51</formula>
    </cfRule>
  </conditionalFormatting>
  <conditionalFormatting sqref="I48:K48">
    <cfRule type="expression" dxfId="30" priority="15">
      <formula>$J$48&lt;1000</formula>
    </cfRule>
    <cfRule type="expression" dxfId="29" priority="16">
      <formula>$J$48&gt;2000</formula>
    </cfRule>
    <cfRule type="expression" dxfId="28" priority="17">
      <formula>$J$48&gt;1000</formula>
    </cfRule>
  </conditionalFormatting>
  <conditionalFormatting sqref="I67:K67">
    <cfRule type="expression" dxfId="27" priority="19">
      <formula>$J$67="OK"</formula>
    </cfRule>
    <cfRule type="expression" dxfId="26" priority="33">
      <formula>$J$67="N/A"</formula>
    </cfRule>
  </conditionalFormatting>
  <conditionalFormatting sqref="I68:K68">
    <cfRule type="expression" dxfId="25" priority="20">
      <formula>$J$68="OK"</formula>
    </cfRule>
    <cfRule type="expression" dxfId="24" priority="26">
      <formula>$J$68="N/A"</formula>
    </cfRule>
  </conditionalFormatting>
  <conditionalFormatting sqref="N22">
    <cfRule type="expression" dxfId="23" priority="84">
      <formula>$N$22</formula>
    </cfRule>
  </conditionalFormatting>
  <conditionalFormatting sqref="N22:N29">
    <cfRule type="containsText" dxfId="22" priority="69" operator="containsText" text="FALSE">
      <formula>NOT(ISERROR(SEARCH("FALSE",N22)))</formula>
    </cfRule>
  </conditionalFormatting>
  <conditionalFormatting sqref="N23">
    <cfRule type="expression" dxfId="21" priority="83">
      <formula>$N$23</formula>
    </cfRule>
  </conditionalFormatting>
  <conditionalFormatting sqref="N24">
    <cfRule type="expression" dxfId="20" priority="82">
      <formula>$N$24</formula>
    </cfRule>
  </conditionalFormatting>
  <conditionalFormatting sqref="N25">
    <cfRule type="expression" dxfId="19" priority="81">
      <formula>$N$25</formula>
    </cfRule>
  </conditionalFormatting>
  <conditionalFormatting sqref="N26">
    <cfRule type="expression" dxfId="18" priority="80">
      <formula>$N$26</formula>
    </cfRule>
  </conditionalFormatting>
  <conditionalFormatting sqref="N27">
    <cfRule type="expression" dxfId="17" priority="79">
      <formula>$N$27</formula>
    </cfRule>
  </conditionalFormatting>
  <conditionalFormatting sqref="N28">
    <cfRule type="expression" dxfId="16" priority="78">
      <formula>$N$28</formula>
    </cfRule>
  </conditionalFormatting>
  <conditionalFormatting sqref="N29">
    <cfRule type="expression" dxfId="15" priority="77">
      <formula>$N$29</formula>
    </cfRule>
  </conditionalFormatting>
  <conditionalFormatting sqref="N35">
    <cfRule type="expression" dxfId="14" priority="65">
      <formula>$N$35</formula>
    </cfRule>
  </conditionalFormatting>
  <conditionalFormatting sqref="N35:N48">
    <cfRule type="containsText" dxfId="13" priority="30" operator="containsText" text="FALSE">
      <formula>NOT(ISERROR(SEARCH("FALSE",N35)))</formula>
    </cfRule>
  </conditionalFormatting>
  <conditionalFormatting sqref="N36">
    <cfRule type="expression" dxfId="12" priority="63">
      <formula>$N$36</formula>
    </cfRule>
  </conditionalFormatting>
  <conditionalFormatting sqref="N37">
    <cfRule type="expression" dxfId="11" priority="62">
      <formula>$N$37</formula>
    </cfRule>
  </conditionalFormatting>
  <conditionalFormatting sqref="N38">
    <cfRule type="expression" dxfId="10" priority="52">
      <formula>$N$38</formula>
    </cfRule>
  </conditionalFormatting>
  <conditionalFormatting sqref="N39">
    <cfRule type="expression" dxfId="9" priority="58">
      <formula>$N$39</formula>
    </cfRule>
  </conditionalFormatting>
  <conditionalFormatting sqref="N40">
    <cfRule type="expression" dxfId="8" priority="57">
      <formula>$N$40</formula>
    </cfRule>
  </conditionalFormatting>
  <conditionalFormatting sqref="N41">
    <cfRule type="expression" dxfId="7" priority="56">
      <formula>$N$41</formula>
    </cfRule>
  </conditionalFormatting>
  <conditionalFormatting sqref="N42">
    <cfRule type="expression" dxfId="6" priority="55">
      <formula>$N$42</formula>
    </cfRule>
  </conditionalFormatting>
  <conditionalFormatting sqref="N43">
    <cfRule type="expression" dxfId="5" priority="54">
      <formula>$N$43</formula>
    </cfRule>
  </conditionalFormatting>
  <conditionalFormatting sqref="N44">
    <cfRule type="expression" dxfId="4" priority="53">
      <formula>$N$44</formula>
    </cfRule>
  </conditionalFormatting>
  <conditionalFormatting sqref="N45">
    <cfRule type="expression" dxfId="3" priority="29">
      <formula>$N$45</formula>
    </cfRule>
  </conditionalFormatting>
  <conditionalFormatting sqref="N46">
    <cfRule type="expression" dxfId="2" priority="32">
      <formula>$N$46</formula>
    </cfRule>
  </conditionalFormatting>
  <conditionalFormatting sqref="N47">
    <cfRule type="expression" dxfId="1" priority="61">
      <formula>$N$47</formula>
    </cfRule>
  </conditionalFormatting>
  <conditionalFormatting sqref="N48">
    <cfRule type="expression" dxfId="0" priority="60">
      <formula>$N$48</formula>
    </cfRule>
  </conditionalFormatting>
  <hyperlinks>
    <hyperlink ref="J8" r:id="rId1" location="led-displays" xr:uid="{6B50FC45-D5B0-48EE-8F5F-B9A9D6C311E3}"/>
  </hyperlinks>
  <printOptions horizontalCentered="1" verticalCentered="1"/>
  <pageMargins left="0" right="0" top="0" bottom="0" header="0.31496062992125984" footer="0.31496062992125984"/>
  <pageSetup paperSize="9" scale="60" orientation="landscape" r:id="rId2"/>
  <ignoredErrors>
    <ignoredError sqref="J65 G62" formula="1"/>
    <ignoredError sqref="F66" calculatedColumn="1"/>
  </ignoredErrors>
  <tableParts count="5">
    <tablePart r:id="rId3"/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491070-0050-4E2B-B5C5-91F62AF3FD6B}">
          <x14:formula1>
            <xm:f>SIZE!$A$1:$A$200</xm:f>
          </x14:formula1>
          <xm:sqref>E9:F9</xm:sqref>
        </x14:dataValidation>
        <x14:dataValidation type="list" allowBlank="1" xr:uid="{00000000-0002-0000-0500-000000000000}">
          <x14:formula1>
            <xm:f>CABINET!$A$5:$A$33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C6C3-85B8-4235-A6D1-D92899F7448D}">
  <dimension ref="A1:L32"/>
  <sheetViews>
    <sheetView workbookViewId="0">
      <selection activeCell="B14" sqref="B14"/>
    </sheetView>
  </sheetViews>
  <sheetFormatPr defaultColWidth="10.5546875" defaultRowHeight="13.2" x14ac:dyDescent="0.25"/>
  <cols>
    <col min="1" max="8" width="14.5546875" style="68" customWidth="1"/>
    <col min="9" max="9" width="17.5546875" style="68" customWidth="1"/>
    <col min="10" max="10" width="19.5546875" style="68" customWidth="1"/>
    <col min="11" max="11" width="16.5546875" style="68" customWidth="1"/>
    <col min="12" max="12" width="14.5546875" style="68" customWidth="1"/>
    <col min="13" max="16384" width="10.5546875" style="68"/>
  </cols>
  <sheetData>
    <row r="1" spans="1:12" ht="13.8" thickBot="1" x14ac:dyDescent="0.3">
      <c r="A1" s="206" t="s">
        <v>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x14ac:dyDescent="0.25">
      <c r="A2" s="83"/>
      <c r="B2" s="69" t="s">
        <v>18</v>
      </c>
      <c r="C2" s="69" t="s">
        <v>21</v>
      </c>
      <c r="D2" s="69" t="s">
        <v>105</v>
      </c>
      <c r="E2" s="69" t="s">
        <v>106</v>
      </c>
      <c r="F2" s="69" t="s">
        <v>28</v>
      </c>
      <c r="G2" s="69" t="s">
        <v>107</v>
      </c>
      <c r="H2" s="69" t="s">
        <v>108</v>
      </c>
      <c r="I2" s="69" t="s">
        <v>109</v>
      </c>
      <c r="J2" s="69" t="s">
        <v>110</v>
      </c>
      <c r="K2" s="69" t="s">
        <v>111</v>
      </c>
      <c r="L2" s="69" t="s">
        <v>112</v>
      </c>
    </row>
    <row r="3" spans="1:12" ht="15" x14ac:dyDescent="0.25">
      <c r="A3" s="70" t="s">
        <v>113</v>
      </c>
      <c r="B3" s="71" cm="1">
        <f t="array" ref="B3:L3">_xlfn._xlws.FILTER(B5:L11,A5:A11='LED DISPLAY - CALCULATOR'!D9)</f>
        <v>500</v>
      </c>
      <c r="C3" s="71">
        <v>500</v>
      </c>
      <c r="D3" s="71">
        <v>128</v>
      </c>
      <c r="E3" s="71">
        <v>128</v>
      </c>
      <c r="F3" s="71">
        <v>6.6</v>
      </c>
      <c r="G3" s="71">
        <v>120</v>
      </c>
      <c r="H3" s="71">
        <v>48</v>
      </c>
      <c r="I3" s="71">
        <v>6.7</v>
      </c>
      <c r="J3" s="71">
        <v>305</v>
      </c>
      <c r="K3" s="71">
        <v>41</v>
      </c>
      <c r="L3" s="71">
        <v>10</v>
      </c>
    </row>
    <row r="4" spans="1:12" ht="15" x14ac:dyDescent="0.25">
      <c r="A4" s="69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" customHeight="1" x14ac:dyDescent="0.25">
      <c r="A5" s="84" t="s">
        <v>114</v>
      </c>
      <c r="B5" s="73">
        <v>0</v>
      </c>
      <c r="C5" s="73">
        <v>0</v>
      </c>
      <c r="D5" s="73">
        <v>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3">
        <v>0</v>
      </c>
      <c r="L5" s="74">
        <v>0</v>
      </c>
    </row>
    <row r="6" spans="1:12" ht="15" customHeight="1" x14ac:dyDescent="0.25">
      <c r="A6" s="85" t="s">
        <v>115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</row>
    <row r="7" spans="1:12" ht="15" customHeight="1" x14ac:dyDescent="0.25">
      <c r="A7" s="65" t="s">
        <v>9</v>
      </c>
      <c r="B7" s="77">
        <v>500</v>
      </c>
      <c r="C7" s="77">
        <v>500</v>
      </c>
      <c r="D7" s="77">
        <v>128</v>
      </c>
      <c r="E7" s="77">
        <v>128</v>
      </c>
      <c r="F7" s="77">
        <v>6.6</v>
      </c>
      <c r="G7" s="77">
        <v>120</v>
      </c>
      <c r="H7" s="77">
        <v>48</v>
      </c>
      <c r="I7" s="77">
        <f>3.7+2+1</f>
        <v>6.7</v>
      </c>
      <c r="J7" s="78">
        <v>305</v>
      </c>
      <c r="K7" s="77">
        <v>41</v>
      </c>
      <c r="L7" s="79">
        <v>10</v>
      </c>
    </row>
    <row r="8" spans="1:12" ht="15" customHeight="1" x14ac:dyDescent="0.25">
      <c r="A8" s="86" t="s">
        <v>116</v>
      </c>
      <c r="B8" s="78">
        <v>500</v>
      </c>
      <c r="C8" s="78">
        <v>500</v>
      </c>
      <c r="D8" s="78">
        <v>128</v>
      </c>
      <c r="E8" s="78">
        <v>128</v>
      </c>
      <c r="F8" s="78">
        <v>8.5</v>
      </c>
      <c r="G8" s="78">
        <v>250</v>
      </c>
      <c r="H8" s="78">
        <v>100</v>
      </c>
      <c r="I8" s="78">
        <f>4.8+2+1</f>
        <v>7.8</v>
      </c>
      <c r="J8" s="80">
        <v>305</v>
      </c>
      <c r="K8" s="78">
        <v>41</v>
      </c>
      <c r="L8" s="79">
        <v>8</v>
      </c>
    </row>
    <row r="9" spans="1:12" ht="15" customHeight="1" x14ac:dyDescent="0.25">
      <c r="A9" s="65" t="s">
        <v>117</v>
      </c>
      <c r="B9" s="77">
        <v>500</v>
      </c>
      <c r="C9" s="77">
        <v>1000</v>
      </c>
      <c r="D9" s="77">
        <v>128</v>
      </c>
      <c r="E9" s="77">
        <v>256</v>
      </c>
      <c r="F9" s="77">
        <v>15</v>
      </c>
      <c r="G9" s="77">
        <v>300</v>
      </c>
      <c r="H9" s="77">
        <v>150</v>
      </c>
      <c r="I9" s="77">
        <v>0</v>
      </c>
      <c r="J9" s="80">
        <v>0</v>
      </c>
      <c r="K9" s="77">
        <v>40</v>
      </c>
      <c r="L9" s="79">
        <v>8</v>
      </c>
    </row>
    <row r="10" spans="1:12" ht="15" customHeight="1" x14ac:dyDescent="0.25">
      <c r="A10" s="66" t="s">
        <v>118</v>
      </c>
      <c r="B10" s="66">
        <v>500</v>
      </c>
      <c r="C10" s="66">
        <v>500</v>
      </c>
      <c r="D10" s="66">
        <v>128</v>
      </c>
      <c r="E10" s="66">
        <v>128</v>
      </c>
      <c r="F10" s="66">
        <v>7.8</v>
      </c>
      <c r="G10" s="66">
        <v>150</v>
      </c>
      <c r="H10" s="66">
        <v>75</v>
      </c>
      <c r="I10" s="66">
        <v>0</v>
      </c>
      <c r="J10" s="66">
        <v>0</v>
      </c>
      <c r="K10" s="66">
        <v>20</v>
      </c>
      <c r="L10" s="81">
        <v>6</v>
      </c>
    </row>
    <row r="11" spans="1:12" ht="15" customHeight="1" x14ac:dyDescent="0.25">
      <c r="A11" s="67" t="s">
        <v>119</v>
      </c>
      <c r="B11" s="80">
        <v>500</v>
      </c>
      <c r="C11" s="80">
        <v>500</v>
      </c>
      <c r="D11" s="80">
        <v>128</v>
      </c>
      <c r="E11" s="80">
        <v>128</v>
      </c>
      <c r="F11" s="80">
        <v>10</v>
      </c>
      <c r="G11" s="80">
        <v>150</v>
      </c>
      <c r="H11" s="80">
        <v>100</v>
      </c>
      <c r="I11" s="80">
        <v>5</v>
      </c>
      <c r="J11" s="80">
        <v>0</v>
      </c>
      <c r="K11" s="80">
        <v>50</v>
      </c>
      <c r="L11" s="82">
        <v>10</v>
      </c>
    </row>
    <row r="12" spans="1:12" ht="15" customHeight="1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</row>
    <row r="13" spans="1:12" ht="15" customHeight="1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1:12" ht="15" customHeight="1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 x14ac:dyDescent="0.2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9"/>
    </row>
    <row r="16" spans="1:12" ht="15" customHeight="1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12" ht="15" customHeight="1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</row>
    <row r="18" spans="1:12" ht="15" customHeight="1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9"/>
    </row>
    <row r="19" spans="1:12" ht="15" customHeight="1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9"/>
    </row>
    <row r="20" spans="1:12" ht="15" customHeight="1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</row>
    <row r="21" spans="1:12" ht="15" customHeight="1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9"/>
    </row>
    <row r="22" spans="1:12" ht="15" customHeight="1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9"/>
    </row>
    <row r="23" spans="1:12" ht="15" customHeight="1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9"/>
    </row>
    <row r="25" spans="1:12" ht="15" customHeight="1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9"/>
    </row>
    <row r="26" spans="1:12" ht="15" customHeight="1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9"/>
    </row>
    <row r="27" spans="1:12" ht="15" customHeight="1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9"/>
    </row>
    <row r="28" spans="1:12" ht="15" customHeight="1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9"/>
    </row>
    <row r="29" spans="1:12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9"/>
    </row>
    <row r="30" spans="1:12" ht="15" customHeight="1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2"/>
    </row>
    <row r="31" spans="1:12" ht="15" customHeight="1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2"/>
    </row>
    <row r="32" spans="1:12" ht="15" customHeight="1" x14ac:dyDescent="0.2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2"/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D69B-BABE-4382-8B2F-3F397B06563A}">
  <dimension ref="A1:C200"/>
  <sheetViews>
    <sheetView workbookViewId="0">
      <selection activeCell="C4" sqref="C4"/>
    </sheetView>
  </sheetViews>
  <sheetFormatPr defaultRowHeight="13.2" x14ac:dyDescent="0.25"/>
  <sheetData>
    <row r="1" spans="1:3" x14ac:dyDescent="0.25">
      <c r="A1">
        <v>0.5</v>
      </c>
      <c r="B1">
        <v>1280</v>
      </c>
      <c r="C1">
        <v>720</v>
      </c>
    </row>
    <row r="2" spans="1:3" x14ac:dyDescent="0.25">
      <c r="A2">
        <v>1</v>
      </c>
      <c r="B2">
        <v>1920</v>
      </c>
      <c r="C2">
        <v>1080</v>
      </c>
    </row>
    <row r="3" spans="1:3" x14ac:dyDescent="0.25">
      <c r="A3">
        <v>1.5</v>
      </c>
      <c r="B3">
        <v>3840</v>
      </c>
      <c r="C3">
        <v>2160</v>
      </c>
    </row>
    <row r="4" spans="1:3" x14ac:dyDescent="0.25">
      <c r="A4">
        <v>2</v>
      </c>
    </row>
    <row r="5" spans="1:3" x14ac:dyDescent="0.25">
      <c r="A5">
        <v>2.5</v>
      </c>
    </row>
    <row r="6" spans="1:3" x14ac:dyDescent="0.25">
      <c r="A6">
        <v>3</v>
      </c>
    </row>
    <row r="7" spans="1:3" x14ac:dyDescent="0.25">
      <c r="A7">
        <v>3.5</v>
      </c>
    </row>
    <row r="8" spans="1:3" x14ac:dyDescent="0.25">
      <c r="A8">
        <v>4</v>
      </c>
    </row>
    <row r="9" spans="1:3" x14ac:dyDescent="0.25">
      <c r="A9">
        <v>4.5</v>
      </c>
    </row>
    <row r="10" spans="1:3" x14ac:dyDescent="0.25">
      <c r="A10">
        <v>5</v>
      </c>
    </row>
    <row r="11" spans="1:3" x14ac:dyDescent="0.25">
      <c r="A11">
        <v>5.5</v>
      </c>
    </row>
    <row r="12" spans="1:3" x14ac:dyDescent="0.25">
      <c r="A12">
        <v>6</v>
      </c>
    </row>
    <row r="13" spans="1:3" x14ac:dyDescent="0.25">
      <c r="A13">
        <v>6.5</v>
      </c>
    </row>
    <row r="14" spans="1:3" x14ac:dyDescent="0.25">
      <c r="A14">
        <v>7</v>
      </c>
    </row>
    <row r="15" spans="1:3" x14ac:dyDescent="0.25">
      <c r="A15">
        <v>7.5</v>
      </c>
    </row>
    <row r="16" spans="1:3" x14ac:dyDescent="0.25">
      <c r="A16">
        <v>8</v>
      </c>
    </row>
    <row r="17" spans="1:1" x14ac:dyDescent="0.25">
      <c r="A17">
        <v>8.5</v>
      </c>
    </row>
    <row r="18" spans="1:1" x14ac:dyDescent="0.25">
      <c r="A18">
        <v>9</v>
      </c>
    </row>
    <row r="19" spans="1:1" x14ac:dyDescent="0.25">
      <c r="A19">
        <v>9.5</v>
      </c>
    </row>
    <row r="20" spans="1:1" x14ac:dyDescent="0.25">
      <c r="A20">
        <v>10</v>
      </c>
    </row>
    <row r="21" spans="1:1" x14ac:dyDescent="0.25">
      <c r="A21">
        <v>10.5</v>
      </c>
    </row>
    <row r="22" spans="1:1" x14ac:dyDescent="0.25">
      <c r="A22">
        <v>11</v>
      </c>
    </row>
    <row r="23" spans="1:1" x14ac:dyDescent="0.25">
      <c r="A23">
        <v>11.5</v>
      </c>
    </row>
    <row r="24" spans="1:1" x14ac:dyDescent="0.25">
      <c r="A24">
        <v>12</v>
      </c>
    </row>
    <row r="25" spans="1:1" x14ac:dyDescent="0.25">
      <c r="A25">
        <v>12.5</v>
      </c>
    </row>
    <row r="26" spans="1:1" x14ac:dyDescent="0.25">
      <c r="A26">
        <v>13</v>
      </c>
    </row>
    <row r="27" spans="1:1" x14ac:dyDescent="0.25">
      <c r="A27">
        <v>13.5</v>
      </c>
    </row>
    <row r="28" spans="1:1" x14ac:dyDescent="0.25">
      <c r="A28">
        <v>14</v>
      </c>
    </row>
    <row r="29" spans="1:1" x14ac:dyDescent="0.25">
      <c r="A29">
        <v>14.5</v>
      </c>
    </row>
    <row r="30" spans="1:1" x14ac:dyDescent="0.25">
      <c r="A30">
        <v>15</v>
      </c>
    </row>
    <row r="31" spans="1:1" x14ac:dyDescent="0.25">
      <c r="A31">
        <v>15.5</v>
      </c>
    </row>
    <row r="32" spans="1:1" x14ac:dyDescent="0.25">
      <c r="A32">
        <v>16</v>
      </c>
    </row>
    <row r="33" spans="1:1" x14ac:dyDescent="0.25">
      <c r="A33">
        <v>16.5</v>
      </c>
    </row>
    <row r="34" spans="1:1" x14ac:dyDescent="0.25">
      <c r="A34">
        <v>17</v>
      </c>
    </row>
    <row r="35" spans="1:1" x14ac:dyDescent="0.25">
      <c r="A35">
        <v>17.5</v>
      </c>
    </row>
    <row r="36" spans="1:1" x14ac:dyDescent="0.25">
      <c r="A36">
        <v>18</v>
      </c>
    </row>
    <row r="37" spans="1:1" x14ac:dyDescent="0.25">
      <c r="A37">
        <v>18.5</v>
      </c>
    </row>
    <row r="38" spans="1:1" x14ac:dyDescent="0.25">
      <c r="A38">
        <v>19</v>
      </c>
    </row>
    <row r="39" spans="1:1" x14ac:dyDescent="0.25">
      <c r="A39">
        <v>19.5</v>
      </c>
    </row>
    <row r="40" spans="1:1" x14ac:dyDescent="0.25">
      <c r="A40">
        <v>20</v>
      </c>
    </row>
    <row r="41" spans="1:1" x14ac:dyDescent="0.25">
      <c r="A41">
        <v>20.5</v>
      </c>
    </row>
    <row r="42" spans="1:1" x14ac:dyDescent="0.25">
      <c r="A42">
        <v>21</v>
      </c>
    </row>
    <row r="43" spans="1:1" x14ac:dyDescent="0.25">
      <c r="A43">
        <v>21.5</v>
      </c>
    </row>
    <row r="44" spans="1:1" x14ac:dyDescent="0.25">
      <c r="A44">
        <v>22</v>
      </c>
    </row>
    <row r="45" spans="1:1" x14ac:dyDescent="0.25">
      <c r="A45">
        <v>22.5</v>
      </c>
    </row>
    <row r="46" spans="1:1" x14ac:dyDescent="0.25">
      <c r="A46">
        <v>23</v>
      </c>
    </row>
    <row r="47" spans="1:1" x14ac:dyDescent="0.25">
      <c r="A47">
        <v>23.5</v>
      </c>
    </row>
    <row r="48" spans="1:1" x14ac:dyDescent="0.25">
      <c r="A48">
        <v>24</v>
      </c>
    </row>
    <row r="49" spans="1:1" x14ac:dyDescent="0.25">
      <c r="A49">
        <v>24.5</v>
      </c>
    </row>
    <row r="50" spans="1:1" x14ac:dyDescent="0.25">
      <c r="A50">
        <v>25</v>
      </c>
    </row>
    <row r="51" spans="1:1" x14ac:dyDescent="0.25">
      <c r="A51">
        <v>25.5</v>
      </c>
    </row>
    <row r="52" spans="1:1" x14ac:dyDescent="0.25">
      <c r="A52">
        <v>26</v>
      </c>
    </row>
    <row r="53" spans="1:1" x14ac:dyDescent="0.25">
      <c r="A53">
        <v>26.5</v>
      </c>
    </row>
    <row r="54" spans="1:1" x14ac:dyDescent="0.25">
      <c r="A54">
        <v>27</v>
      </c>
    </row>
    <row r="55" spans="1:1" x14ac:dyDescent="0.25">
      <c r="A55">
        <v>27.5</v>
      </c>
    </row>
    <row r="56" spans="1:1" x14ac:dyDescent="0.25">
      <c r="A56">
        <v>28</v>
      </c>
    </row>
    <row r="57" spans="1:1" x14ac:dyDescent="0.25">
      <c r="A57">
        <v>28.5</v>
      </c>
    </row>
    <row r="58" spans="1:1" x14ac:dyDescent="0.25">
      <c r="A58">
        <v>29</v>
      </c>
    </row>
    <row r="59" spans="1:1" x14ac:dyDescent="0.25">
      <c r="A59">
        <v>29.5</v>
      </c>
    </row>
    <row r="60" spans="1:1" x14ac:dyDescent="0.25">
      <c r="A60">
        <v>30</v>
      </c>
    </row>
    <row r="61" spans="1:1" x14ac:dyDescent="0.25">
      <c r="A61">
        <v>30.5</v>
      </c>
    </row>
    <row r="62" spans="1:1" x14ac:dyDescent="0.25">
      <c r="A62">
        <v>31</v>
      </c>
    </row>
    <row r="63" spans="1:1" x14ac:dyDescent="0.25">
      <c r="A63">
        <v>31.5</v>
      </c>
    </row>
    <row r="64" spans="1:1" x14ac:dyDescent="0.25">
      <c r="A64">
        <v>32</v>
      </c>
    </row>
    <row r="65" spans="1:1" x14ac:dyDescent="0.25">
      <c r="A65">
        <v>32.5</v>
      </c>
    </row>
    <row r="66" spans="1:1" x14ac:dyDescent="0.25">
      <c r="A66">
        <v>33</v>
      </c>
    </row>
    <row r="67" spans="1:1" x14ac:dyDescent="0.25">
      <c r="A67">
        <v>33.5</v>
      </c>
    </row>
    <row r="68" spans="1:1" x14ac:dyDescent="0.25">
      <c r="A68">
        <v>34</v>
      </c>
    </row>
    <row r="69" spans="1:1" x14ac:dyDescent="0.25">
      <c r="A69">
        <v>34.5</v>
      </c>
    </row>
    <row r="70" spans="1:1" x14ac:dyDescent="0.25">
      <c r="A70">
        <v>35</v>
      </c>
    </row>
    <row r="71" spans="1:1" x14ac:dyDescent="0.25">
      <c r="A71">
        <v>35.5</v>
      </c>
    </row>
    <row r="72" spans="1:1" x14ac:dyDescent="0.25">
      <c r="A72">
        <v>36</v>
      </c>
    </row>
    <row r="73" spans="1:1" x14ac:dyDescent="0.25">
      <c r="A73">
        <v>36.5</v>
      </c>
    </row>
    <row r="74" spans="1:1" x14ac:dyDescent="0.25">
      <c r="A74">
        <v>37</v>
      </c>
    </row>
    <row r="75" spans="1:1" x14ac:dyDescent="0.25">
      <c r="A75">
        <v>37.5</v>
      </c>
    </row>
    <row r="76" spans="1:1" x14ac:dyDescent="0.25">
      <c r="A76">
        <v>38</v>
      </c>
    </row>
    <row r="77" spans="1:1" x14ac:dyDescent="0.25">
      <c r="A77">
        <v>38.5</v>
      </c>
    </row>
    <row r="78" spans="1:1" x14ac:dyDescent="0.25">
      <c r="A78">
        <v>39</v>
      </c>
    </row>
    <row r="79" spans="1:1" x14ac:dyDescent="0.25">
      <c r="A79">
        <v>39.5</v>
      </c>
    </row>
    <row r="80" spans="1:1" x14ac:dyDescent="0.25">
      <c r="A80">
        <v>40</v>
      </c>
    </row>
    <row r="81" spans="1:1" x14ac:dyDescent="0.25">
      <c r="A81">
        <v>40.5</v>
      </c>
    </row>
    <row r="82" spans="1:1" x14ac:dyDescent="0.25">
      <c r="A82">
        <v>41</v>
      </c>
    </row>
    <row r="83" spans="1:1" x14ac:dyDescent="0.25">
      <c r="A83">
        <v>41.5</v>
      </c>
    </row>
    <row r="84" spans="1:1" x14ac:dyDescent="0.25">
      <c r="A84">
        <v>42</v>
      </c>
    </row>
    <row r="85" spans="1:1" x14ac:dyDescent="0.25">
      <c r="A85">
        <v>42.5</v>
      </c>
    </row>
    <row r="86" spans="1:1" x14ac:dyDescent="0.25">
      <c r="A86">
        <v>43</v>
      </c>
    </row>
    <row r="87" spans="1:1" x14ac:dyDescent="0.25">
      <c r="A87">
        <v>43.5</v>
      </c>
    </row>
    <row r="88" spans="1:1" x14ac:dyDescent="0.25">
      <c r="A88">
        <v>44</v>
      </c>
    </row>
    <row r="89" spans="1:1" x14ac:dyDescent="0.25">
      <c r="A89">
        <v>44.5</v>
      </c>
    </row>
    <row r="90" spans="1:1" x14ac:dyDescent="0.25">
      <c r="A90">
        <v>45</v>
      </c>
    </row>
    <row r="91" spans="1:1" x14ac:dyDescent="0.25">
      <c r="A91">
        <v>45.5</v>
      </c>
    </row>
    <row r="92" spans="1:1" x14ac:dyDescent="0.25">
      <c r="A92">
        <v>46</v>
      </c>
    </row>
    <row r="93" spans="1:1" x14ac:dyDescent="0.25">
      <c r="A93">
        <v>46.5</v>
      </c>
    </row>
    <row r="94" spans="1:1" x14ac:dyDescent="0.25">
      <c r="A94">
        <v>47</v>
      </c>
    </row>
    <row r="95" spans="1:1" x14ac:dyDescent="0.25">
      <c r="A95">
        <v>47.5</v>
      </c>
    </row>
    <row r="96" spans="1:1" x14ac:dyDescent="0.25">
      <c r="A96">
        <v>48</v>
      </c>
    </row>
    <row r="97" spans="1:1" x14ac:dyDescent="0.25">
      <c r="A97">
        <v>48.5</v>
      </c>
    </row>
    <row r="98" spans="1:1" x14ac:dyDescent="0.25">
      <c r="A98">
        <v>49</v>
      </c>
    </row>
    <row r="99" spans="1:1" x14ac:dyDescent="0.25">
      <c r="A99">
        <v>49.5</v>
      </c>
    </row>
    <row r="100" spans="1:1" x14ac:dyDescent="0.25">
      <c r="A100">
        <v>50</v>
      </c>
    </row>
    <row r="101" spans="1:1" x14ac:dyDescent="0.25">
      <c r="A101">
        <v>50.5</v>
      </c>
    </row>
    <row r="102" spans="1:1" x14ac:dyDescent="0.25">
      <c r="A102">
        <v>51</v>
      </c>
    </row>
    <row r="103" spans="1:1" x14ac:dyDescent="0.25">
      <c r="A103">
        <v>51.5</v>
      </c>
    </row>
    <row r="104" spans="1:1" x14ac:dyDescent="0.25">
      <c r="A104">
        <v>52</v>
      </c>
    </row>
    <row r="105" spans="1:1" x14ac:dyDescent="0.25">
      <c r="A105">
        <v>52.5</v>
      </c>
    </row>
    <row r="106" spans="1:1" x14ac:dyDescent="0.25">
      <c r="A106">
        <v>53</v>
      </c>
    </row>
    <row r="107" spans="1:1" x14ac:dyDescent="0.25">
      <c r="A107">
        <v>53.5</v>
      </c>
    </row>
    <row r="108" spans="1:1" x14ac:dyDescent="0.25">
      <c r="A108">
        <v>54</v>
      </c>
    </row>
    <row r="109" spans="1:1" x14ac:dyDescent="0.25">
      <c r="A109">
        <v>54.5</v>
      </c>
    </row>
    <row r="110" spans="1:1" x14ac:dyDescent="0.25">
      <c r="A110">
        <v>55</v>
      </c>
    </row>
    <row r="111" spans="1:1" x14ac:dyDescent="0.25">
      <c r="A111">
        <v>55.5</v>
      </c>
    </row>
    <row r="112" spans="1:1" x14ac:dyDescent="0.25">
      <c r="A112">
        <v>56</v>
      </c>
    </row>
    <row r="113" spans="1:1" x14ac:dyDescent="0.25">
      <c r="A113">
        <v>56.5</v>
      </c>
    </row>
    <row r="114" spans="1:1" x14ac:dyDescent="0.25">
      <c r="A114">
        <v>57</v>
      </c>
    </row>
    <row r="115" spans="1:1" x14ac:dyDescent="0.25">
      <c r="A115">
        <v>57.5</v>
      </c>
    </row>
    <row r="116" spans="1:1" x14ac:dyDescent="0.25">
      <c r="A116">
        <v>58</v>
      </c>
    </row>
    <row r="117" spans="1:1" x14ac:dyDescent="0.25">
      <c r="A117">
        <v>58.5</v>
      </c>
    </row>
    <row r="118" spans="1:1" x14ac:dyDescent="0.25">
      <c r="A118">
        <v>59</v>
      </c>
    </row>
    <row r="119" spans="1:1" x14ac:dyDescent="0.25">
      <c r="A119">
        <v>59.5</v>
      </c>
    </row>
    <row r="120" spans="1:1" x14ac:dyDescent="0.25">
      <c r="A120">
        <v>60</v>
      </c>
    </row>
    <row r="121" spans="1:1" x14ac:dyDescent="0.25">
      <c r="A121">
        <v>60.5</v>
      </c>
    </row>
    <row r="122" spans="1:1" x14ac:dyDescent="0.25">
      <c r="A122">
        <v>61</v>
      </c>
    </row>
    <row r="123" spans="1:1" x14ac:dyDescent="0.25">
      <c r="A123">
        <v>61.5</v>
      </c>
    </row>
    <row r="124" spans="1:1" x14ac:dyDescent="0.25">
      <c r="A124">
        <v>62</v>
      </c>
    </row>
    <row r="125" spans="1:1" x14ac:dyDescent="0.25">
      <c r="A125">
        <v>62.5</v>
      </c>
    </row>
    <row r="126" spans="1:1" x14ac:dyDescent="0.25">
      <c r="A126">
        <v>63</v>
      </c>
    </row>
    <row r="127" spans="1:1" x14ac:dyDescent="0.25">
      <c r="A127">
        <v>63.5</v>
      </c>
    </row>
    <row r="128" spans="1:1" x14ac:dyDescent="0.25">
      <c r="A128">
        <v>64</v>
      </c>
    </row>
    <row r="129" spans="1:1" x14ac:dyDescent="0.25">
      <c r="A129">
        <v>64.5</v>
      </c>
    </row>
    <row r="130" spans="1:1" x14ac:dyDescent="0.25">
      <c r="A130">
        <v>65</v>
      </c>
    </row>
    <row r="131" spans="1:1" x14ac:dyDescent="0.25">
      <c r="A131">
        <v>65.5</v>
      </c>
    </row>
    <row r="132" spans="1:1" x14ac:dyDescent="0.25">
      <c r="A132">
        <v>66</v>
      </c>
    </row>
    <row r="133" spans="1:1" x14ac:dyDescent="0.25">
      <c r="A133">
        <v>66.5</v>
      </c>
    </row>
    <row r="134" spans="1:1" x14ac:dyDescent="0.25">
      <c r="A134">
        <v>67</v>
      </c>
    </row>
    <row r="135" spans="1:1" x14ac:dyDescent="0.25">
      <c r="A135">
        <v>67.5</v>
      </c>
    </row>
    <row r="136" spans="1:1" x14ac:dyDescent="0.25">
      <c r="A136">
        <v>68</v>
      </c>
    </row>
    <row r="137" spans="1:1" x14ac:dyDescent="0.25">
      <c r="A137">
        <v>68.5</v>
      </c>
    </row>
    <row r="138" spans="1:1" x14ac:dyDescent="0.25">
      <c r="A138">
        <v>69</v>
      </c>
    </row>
    <row r="139" spans="1:1" x14ac:dyDescent="0.25">
      <c r="A139">
        <v>69.5</v>
      </c>
    </row>
    <row r="140" spans="1:1" x14ac:dyDescent="0.25">
      <c r="A140">
        <v>70</v>
      </c>
    </row>
    <row r="141" spans="1:1" x14ac:dyDescent="0.25">
      <c r="A141">
        <v>70.5</v>
      </c>
    </row>
    <row r="142" spans="1:1" x14ac:dyDescent="0.25">
      <c r="A142">
        <v>71</v>
      </c>
    </row>
    <row r="143" spans="1:1" x14ac:dyDescent="0.25">
      <c r="A143">
        <v>71.5</v>
      </c>
    </row>
    <row r="144" spans="1:1" x14ac:dyDescent="0.25">
      <c r="A144">
        <v>72</v>
      </c>
    </row>
    <row r="145" spans="1:1" x14ac:dyDescent="0.25">
      <c r="A145">
        <v>72.5</v>
      </c>
    </row>
    <row r="146" spans="1:1" x14ac:dyDescent="0.25">
      <c r="A146">
        <v>73</v>
      </c>
    </row>
    <row r="147" spans="1:1" x14ac:dyDescent="0.25">
      <c r="A147">
        <v>73.5</v>
      </c>
    </row>
    <row r="148" spans="1:1" x14ac:dyDescent="0.25">
      <c r="A148">
        <v>74</v>
      </c>
    </row>
    <row r="149" spans="1:1" x14ac:dyDescent="0.25">
      <c r="A149">
        <v>74.5</v>
      </c>
    </row>
    <row r="150" spans="1:1" x14ac:dyDescent="0.25">
      <c r="A150">
        <v>75</v>
      </c>
    </row>
    <row r="151" spans="1:1" x14ac:dyDescent="0.25">
      <c r="A151">
        <v>75.5</v>
      </c>
    </row>
    <row r="152" spans="1:1" x14ac:dyDescent="0.25">
      <c r="A152">
        <v>76</v>
      </c>
    </row>
    <row r="153" spans="1:1" x14ac:dyDescent="0.25">
      <c r="A153">
        <v>76.5</v>
      </c>
    </row>
    <row r="154" spans="1:1" x14ac:dyDescent="0.25">
      <c r="A154">
        <v>77</v>
      </c>
    </row>
    <row r="155" spans="1:1" x14ac:dyDescent="0.25">
      <c r="A155">
        <v>77.5</v>
      </c>
    </row>
    <row r="156" spans="1:1" x14ac:dyDescent="0.25">
      <c r="A156">
        <v>78</v>
      </c>
    </row>
    <row r="157" spans="1:1" x14ac:dyDescent="0.25">
      <c r="A157">
        <v>78.5</v>
      </c>
    </row>
    <row r="158" spans="1:1" x14ac:dyDescent="0.25">
      <c r="A158">
        <v>79</v>
      </c>
    </row>
    <row r="159" spans="1:1" x14ac:dyDescent="0.25">
      <c r="A159">
        <v>79.5</v>
      </c>
    </row>
    <row r="160" spans="1:1" x14ac:dyDescent="0.25">
      <c r="A160">
        <v>80</v>
      </c>
    </row>
    <row r="161" spans="1:1" x14ac:dyDescent="0.25">
      <c r="A161">
        <v>80.5</v>
      </c>
    </row>
    <row r="162" spans="1:1" x14ac:dyDescent="0.25">
      <c r="A162">
        <v>81</v>
      </c>
    </row>
    <row r="163" spans="1:1" x14ac:dyDescent="0.25">
      <c r="A163">
        <v>81.5</v>
      </c>
    </row>
    <row r="164" spans="1:1" x14ac:dyDescent="0.25">
      <c r="A164">
        <v>82</v>
      </c>
    </row>
    <row r="165" spans="1:1" x14ac:dyDescent="0.25">
      <c r="A165">
        <v>82.5</v>
      </c>
    </row>
    <row r="166" spans="1:1" x14ac:dyDescent="0.25">
      <c r="A166">
        <v>83</v>
      </c>
    </row>
    <row r="167" spans="1:1" x14ac:dyDescent="0.25">
      <c r="A167">
        <v>83.5</v>
      </c>
    </row>
    <row r="168" spans="1:1" x14ac:dyDescent="0.25">
      <c r="A168">
        <v>84</v>
      </c>
    </row>
    <row r="169" spans="1:1" x14ac:dyDescent="0.25">
      <c r="A169">
        <v>84.5</v>
      </c>
    </row>
    <row r="170" spans="1:1" x14ac:dyDescent="0.25">
      <c r="A170">
        <v>85</v>
      </c>
    </row>
    <row r="171" spans="1:1" x14ac:dyDescent="0.25">
      <c r="A171">
        <v>85.5</v>
      </c>
    </row>
    <row r="172" spans="1:1" x14ac:dyDescent="0.25">
      <c r="A172">
        <v>86</v>
      </c>
    </row>
    <row r="173" spans="1:1" x14ac:dyDescent="0.25">
      <c r="A173">
        <v>86.5</v>
      </c>
    </row>
    <row r="174" spans="1:1" x14ac:dyDescent="0.25">
      <c r="A174">
        <v>87</v>
      </c>
    </row>
    <row r="175" spans="1:1" x14ac:dyDescent="0.25">
      <c r="A175">
        <v>87.5</v>
      </c>
    </row>
    <row r="176" spans="1:1" x14ac:dyDescent="0.25">
      <c r="A176">
        <v>88</v>
      </c>
    </row>
    <row r="177" spans="1:1" x14ac:dyDescent="0.25">
      <c r="A177">
        <v>88.5</v>
      </c>
    </row>
    <row r="178" spans="1:1" x14ac:dyDescent="0.25">
      <c r="A178">
        <v>89</v>
      </c>
    </row>
    <row r="179" spans="1:1" x14ac:dyDescent="0.25">
      <c r="A179">
        <v>89.5</v>
      </c>
    </row>
    <row r="180" spans="1:1" x14ac:dyDescent="0.25">
      <c r="A180">
        <v>90</v>
      </c>
    </row>
    <row r="181" spans="1:1" x14ac:dyDescent="0.25">
      <c r="A181">
        <v>90.5</v>
      </c>
    </row>
    <row r="182" spans="1:1" x14ac:dyDescent="0.25">
      <c r="A182">
        <v>91</v>
      </c>
    </row>
    <row r="183" spans="1:1" x14ac:dyDescent="0.25">
      <c r="A183">
        <v>91.5</v>
      </c>
    </row>
    <row r="184" spans="1:1" x14ac:dyDescent="0.25">
      <c r="A184">
        <v>92</v>
      </c>
    </row>
    <row r="185" spans="1:1" x14ac:dyDescent="0.25">
      <c r="A185">
        <v>92.5</v>
      </c>
    </row>
    <row r="186" spans="1:1" x14ac:dyDescent="0.25">
      <c r="A186">
        <v>93</v>
      </c>
    </row>
    <row r="187" spans="1:1" x14ac:dyDescent="0.25">
      <c r="A187">
        <v>93.5</v>
      </c>
    </row>
    <row r="188" spans="1:1" x14ac:dyDescent="0.25">
      <c r="A188">
        <v>94</v>
      </c>
    </row>
    <row r="189" spans="1:1" x14ac:dyDescent="0.25">
      <c r="A189">
        <v>94.5</v>
      </c>
    </row>
    <row r="190" spans="1:1" x14ac:dyDescent="0.25">
      <c r="A190">
        <v>95</v>
      </c>
    </row>
    <row r="191" spans="1:1" x14ac:dyDescent="0.25">
      <c r="A191">
        <v>95.5</v>
      </c>
    </row>
    <row r="192" spans="1:1" x14ac:dyDescent="0.25">
      <c r="A192">
        <v>96</v>
      </c>
    </row>
    <row r="193" spans="1:1" x14ac:dyDescent="0.25">
      <c r="A193">
        <v>96.5</v>
      </c>
    </row>
    <row r="194" spans="1:1" x14ac:dyDescent="0.25">
      <c r="A194">
        <v>97</v>
      </c>
    </row>
    <row r="195" spans="1:1" x14ac:dyDescent="0.25">
      <c r="A195">
        <v>97.5</v>
      </c>
    </row>
    <row r="196" spans="1:1" x14ac:dyDescent="0.25">
      <c r="A196">
        <v>98</v>
      </c>
    </row>
    <row r="197" spans="1:1" x14ac:dyDescent="0.25">
      <c r="A197">
        <v>98.5</v>
      </c>
    </row>
    <row r="198" spans="1:1" x14ac:dyDescent="0.25">
      <c r="A198">
        <v>99</v>
      </c>
    </row>
    <row r="199" spans="1:1" x14ac:dyDescent="0.25">
      <c r="A199">
        <v>99.5</v>
      </c>
    </row>
    <row r="200" spans="1:1" x14ac:dyDescent="0.25">
      <c r="A200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905A89-9ACA-4696-B818-CD052D1625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LED DISPLAY - CALCULATOR</vt:lpstr>
      <vt:lpstr>CABINET</vt:lpstr>
      <vt:lpstr>SIZE</vt:lpstr>
      <vt:lpstr>'LED DISPLAY -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Pierre-Henry PAULY</dc:creator>
  <cp:keywords/>
  <dc:description/>
  <cp:lastModifiedBy>Pierre-Henry PAULY</cp:lastModifiedBy>
  <cp:revision/>
  <cp:lastPrinted>2023-02-24T08:14:19Z</cp:lastPrinted>
  <dcterms:created xsi:type="dcterms:W3CDTF">2022-04-16T16:05:03Z</dcterms:created>
  <dcterms:modified xsi:type="dcterms:W3CDTF">2023-07-01T22:36:07Z</dcterms:modified>
  <cp:category/>
  <cp:contentStatus/>
</cp:coreProperties>
</file>